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mailtauacil-my.sharepoint.com/personal/arielsmotny_mail_tau_ac_il/Documents/שולחן העבודה/דלק רכב - מחקר/"/>
    </mc:Choice>
  </mc:AlternateContent>
  <xr:revisionPtr revIDLastSave="0" documentId="11_BE01A5BD0B962F3EB1656295188735A5BCAAD451" xr6:coauthVersionLast="47" xr6:coauthVersionMax="47" xr10:uidLastSave="{00000000-0000-0000-0000-000000000000}"/>
  <bookViews>
    <workbookView xWindow="10840" yWindow="1270" windowWidth="7880" windowHeight="7370" xr2:uid="{00000000-000D-0000-FFFF-FFFF00000000}"/>
  </bookViews>
  <sheets>
    <sheet name="קרא אותי" sheetId="1" r:id="rId1"/>
    <sheet name="קלט" sheetId="2" r:id="rId2"/>
    <sheet name="מפל" sheetId="3" r:id="rId3"/>
    <sheet name="כיסוי ריבית" sheetId="4" r:id="rId4"/>
    <sheet name="מגזרים" sheetId="5" r:id="rId5"/>
    <sheet name="כלכלת יחידה" sheetId="6" r:id="rId6"/>
    <sheet name="NAV" sheetId="7" r:id="rId7"/>
    <sheet name="תרחישים" sheetId="8" r:id="rId8"/>
    <sheet name="רגישות" sheetId="9" r:id="rId9"/>
    <sheet name="DCF" sheetId="10" r:id="rId10"/>
    <sheet name="מכפילים" sheetId="11" r:id="rId11"/>
    <sheet name="בדיקות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12" l="1"/>
  <c r="C8" i="12"/>
  <c r="D29" i="11"/>
  <c r="C29" i="11"/>
  <c r="B29" i="11"/>
  <c r="I9" i="11"/>
  <c r="G9" i="11"/>
  <c r="F9" i="11"/>
  <c r="E9" i="11"/>
  <c r="C9" i="11"/>
  <c r="B9" i="11"/>
  <c r="D9" i="11" s="1"/>
  <c r="A9" i="11"/>
  <c r="I8" i="11"/>
  <c r="G8" i="11"/>
  <c r="F8" i="11"/>
  <c r="E8" i="11"/>
  <c r="C8" i="11"/>
  <c r="B8" i="11"/>
  <c r="A8" i="11"/>
  <c r="I7" i="11"/>
  <c r="G7" i="11"/>
  <c r="F7" i="11"/>
  <c r="E7" i="11"/>
  <c r="H7" i="11" s="1"/>
  <c r="C7" i="11"/>
  <c r="B7" i="11"/>
  <c r="A7" i="11"/>
  <c r="A6" i="11"/>
  <c r="A70" i="10"/>
  <c r="B48" i="10"/>
  <c r="B13" i="10"/>
  <c r="B14" i="10" s="1"/>
  <c r="B12" i="10"/>
  <c r="B11" i="10"/>
  <c r="B10" i="10"/>
  <c r="B8" i="10"/>
  <c r="B7" i="10"/>
  <c r="B6" i="10"/>
  <c r="B64" i="9"/>
  <c r="B59" i="9"/>
  <c r="B71" i="9" s="1"/>
  <c r="B40" i="9"/>
  <c r="B41" i="9" s="1"/>
  <c r="B39" i="9"/>
  <c r="D10" i="9"/>
  <c r="C10" i="9"/>
  <c r="B10" i="9"/>
  <c r="D9" i="9"/>
  <c r="C9" i="9"/>
  <c r="B9" i="9"/>
  <c r="D8" i="9"/>
  <c r="C8" i="9"/>
  <c r="B8" i="9"/>
  <c r="E10" i="8"/>
  <c r="B25" i="8" s="1"/>
  <c r="A28" i="8" s="1"/>
  <c r="D10" i="8"/>
  <c r="G8" i="8"/>
  <c r="B8" i="8"/>
  <c r="A8" i="8"/>
  <c r="G7" i="8"/>
  <c r="B7" i="8"/>
  <c r="A7" i="8"/>
  <c r="G6" i="8"/>
  <c r="B6" i="8"/>
  <c r="A6" i="8"/>
  <c r="B19" i="7"/>
  <c r="B14" i="7"/>
  <c r="B9" i="7"/>
  <c r="B8" i="7"/>
  <c r="C8" i="7" s="1"/>
  <c r="B7" i="7"/>
  <c r="B22" i="6"/>
  <c r="E20" i="6"/>
  <c r="C20" i="6"/>
  <c r="B20" i="6"/>
  <c r="D20" i="6" s="1"/>
  <c r="F20" i="6" s="1"/>
  <c r="A20" i="6"/>
  <c r="E19" i="6"/>
  <c r="C19" i="6"/>
  <c r="B19" i="6"/>
  <c r="A19" i="6"/>
  <c r="E18" i="6"/>
  <c r="C18" i="6"/>
  <c r="B18" i="6"/>
  <c r="D18" i="6" s="1"/>
  <c r="F18" i="6" s="1"/>
  <c r="A18" i="6"/>
  <c r="F8" i="6"/>
  <c r="C8" i="6"/>
  <c r="B8" i="6"/>
  <c r="B11" i="6" s="1"/>
  <c r="A8" i="6"/>
  <c r="F7" i="6"/>
  <c r="C7" i="6"/>
  <c r="D7" i="6" s="1"/>
  <c r="B7" i="6"/>
  <c r="A7" i="6"/>
  <c r="F6" i="6"/>
  <c r="E6" i="6"/>
  <c r="C6" i="6"/>
  <c r="B6" i="6"/>
  <c r="A6" i="6"/>
  <c r="E23" i="5"/>
  <c r="B17" i="5"/>
  <c r="J12" i="5"/>
  <c r="B15" i="12" s="1"/>
  <c r="D15" i="12" s="1"/>
  <c r="I12" i="5"/>
  <c r="H12" i="5"/>
  <c r="D12" i="5"/>
  <c r="F12" i="5" s="1"/>
  <c r="C12" i="5"/>
  <c r="B12" i="5"/>
  <c r="E12" i="5" s="1"/>
  <c r="A12" i="5"/>
  <c r="I11" i="5"/>
  <c r="H11" i="5"/>
  <c r="E11" i="5"/>
  <c r="D11" i="5"/>
  <c r="F11" i="5" s="1"/>
  <c r="C11" i="5"/>
  <c r="B11" i="5"/>
  <c r="A11" i="5"/>
  <c r="J10" i="5"/>
  <c r="I10" i="5"/>
  <c r="H10" i="5"/>
  <c r="D10" i="5"/>
  <c r="F10" i="5" s="1"/>
  <c r="C10" i="5"/>
  <c r="B10" i="5"/>
  <c r="B23" i="5" s="1"/>
  <c r="A10" i="5"/>
  <c r="I9" i="5"/>
  <c r="H9" i="5"/>
  <c r="D9" i="5"/>
  <c r="C9" i="5"/>
  <c r="E9" i="5" s="1"/>
  <c r="B9" i="5"/>
  <c r="A9" i="5"/>
  <c r="I8" i="5"/>
  <c r="J8" i="5" s="1"/>
  <c r="H8" i="5"/>
  <c r="D8" i="5"/>
  <c r="F8" i="5" s="1"/>
  <c r="C8" i="5"/>
  <c r="B8" i="5"/>
  <c r="A8" i="5"/>
  <c r="I7" i="5"/>
  <c r="H7" i="5"/>
  <c r="D7" i="5"/>
  <c r="C7" i="5"/>
  <c r="G7" i="5" s="1"/>
  <c r="B7" i="5"/>
  <c r="A7" i="5"/>
  <c r="I6" i="5"/>
  <c r="J6" i="5" s="1"/>
  <c r="H6" i="5"/>
  <c r="D6" i="5"/>
  <c r="F6" i="5" s="1"/>
  <c r="C6" i="5"/>
  <c r="C13" i="5" s="1"/>
  <c r="G11" i="5" s="1"/>
  <c r="B6" i="5"/>
  <c r="B22" i="5" s="1"/>
  <c r="B24" i="5" s="1"/>
  <c r="A6" i="5"/>
  <c r="B30" i="4"/>
  <c r="B29" i="4"/>
  <c r="C22" i="4"/>
  <c r="F22" i="4" s="1"/>
  <c r="C21" i="4"/>
  <c r="F21" i="4" s="1"/>
  <c r="B21" i="4"/>
  <c r="C20" i="4"/>
  <c r="D20" i="4" s="1"/>
  <c r="E20" i="4" s="1"/>
  <c r="F19" i="4"/>
  <c r="C19" i="4"/>
  <c r="D19" i="4" s="1"/>
  <c r="C13" i="4"/>
  <c r="B13" i="4"/>
  <c r="B57" i="9" s="1"/>
  <c r="C11" i="4"/>
  <c r="B11" i="4"/>
  <c r="C13" i="3"/>
  <c r="B13" i="3"/>
  <c r="C11" i="3"/>
  <c r="B11" i="3"/>
  <c r="E9" i="3"/>
  <c r="C9" i="3"/>
  <c r="B9" i="3"/>
  <c r="C7" i="3"/>
  <c r="D7" i="3" s="1"/>
  <c r="B7" i="3"/>
  <c r="C6" i="3"/>
  <c r="B6" i="3"/>
  <c r="B17" i="3" s="1"/>
  <c r="G109" i="2"/>
  <c r="I6" i="11" s="1"/>
  <c r="E109" i="2"/>
  <c r="F6" i="11" s="1"/>
  <c r="D109" i="2"/>
  <c r="E6" i="11" s="1"/>
  <c r="C109" i="2"/>
  <c r="C6" i="11" s="1"/>
  <c r="B109" i="2"/>
  <c r="B6" i="11" s="1"/>
  <c r="B86" i="2"/>
  <c r="B23" i="2"/>
  <c r="B29" i="9" s="1"/>
  <c r="G8" i="5" l="1"/>
  <c r="B45" i="2"/>
  <c r="D6" i="3"/>
  <c r="D13" i="3"/>
  <c r="F7" i="5"/>
  <c r="F9" i="5"/>
  <c r="E6" i="3"/>
  <c r="B20" i="3"/>
  <c r="B21" i="3" s="1"/>
  <c r="D11" i="3"/>
  <c r="E13" i="3"/>
  <c r="F20" i="4"/>
  <c r="E7" i="5"/>
  <c r="G9" i="5"/>
  <c r="C22" i="5"/>
  <c r="D22" i="5" s="1"/>
  <c r="E29" i="11"/>
  <c r="E22" i="6"/>
  <c r="E7" i="3"/>
  <c r="D21" i="4"/>
  <c r="E21" i="4" s="1"/>
  <c r="G21" i="4" s="1"/>
  <c r="D19" i="6"/>
  <c r="F19" i="6" s="1"/>
  <c r="F22" i="10" s="1"/>
  <c r="F25" i="10" s="1"/>
  <c r="D9" i="3"/>
  <c r="E11" i="3"/>
  <c r="E19" i="4"/>
  <c r="G19" i="4" s="1"/>
  <c r="D22" i="4"/>
  <c r="E22" i="4" s="1"/>
  <c r="G22" i="4" s="1"/>
  <c r="E8" i="5"/>
  <c r="E10" i="5"/>
  <c r="G12" i="5"/>
  <c r="C23" i="5"/>
  <c r="D23" i="5" s="1"/>
  <c r="D6" i="6"/>
  <c r="E7" i="6" s="1"/>
  <c r="K9" i="11"/>
  <c r="I11" i="11"/>
  <c r="F29" i="11"/>
  <c r="H6" i="11"/>
  <c r="J6" i="11"/>
  <c r="G20" i="4"/>
  <c r="B60" i="9"/>
  <c r="C71" i="9"/>
  <c r="F24" i="10"/>
  <c r="B10" i="4"/>
  <c r="D13" i="5"/>
  <c r="F13" i="5" s="1"/>
  <c r="B16" i="10"/>
  <c r="C7" i="7"/>
  <c r="B8" i="3"/>
  <c r="B8" i="12"/>
  <c r="D8" i="12" s="1"/>
  <c r="G13" i="5"/>
  <c r="G6" i="5"/>
  <c r="J9" i="5"/>
  <c r="G10" i="5"/>
  <c r="B13" i="6"/>
  <c r="D8" i="6"/>
  <c r="D22" i="6"/>
  <c r="F22" i="6" s="1"/>
  <c r="B21" i="10"/>
  <c r="D7" i="11"/>
  <c r="L7" i="11" s="1"/>
  <c r="K7" i="11"/>
  <c r="D8" i="11"/>
  <c r="L8" i="11" s="1"/>
  <c r="J8" i="11"/>
  <c r="B65" i="9"/>
  <c r="B66" i="9" s="1"/>
  <c r="B32" i="9"/>
  <c r="B28" i="9"/>
  <c r="C8" i="3"/>
  <c r="C17" i="3"/>
  <c r="C10" i="4" s="1"/>
  <c r="C12" i="4" s="1"/>
  <c r="C14" i="4" s="1"/>
  <c r="B31" i="9"/>
  <c r="D6" i="11"/>
  <c r="L6" i="11" s="1"/>
  <c r="E6" i="5"/>
  <c r="B46" i="2" s="1"/>
  <c r="J7" i="5"/>
  <c r="J11" i="5"/>
  <c r="B14" i="12" s="1"/>
  <c r="D14" i="12" s="1"/>
  <c r="B13" i="5"/>
  <c r="B16" i="5" s="1"/>
  <c r="B18" i="5" s="1"/>
  <c r="C24" i="5"/>
  <c r="D24" i="5" s="1"/>
  <c r="B6" i="7"/>
  <c r="B30" i="9"/>
  <c r="J7" i="11"/>
  <c r="K8" i="11"/>
  <c r="H9" i="11"/>
  <c r="J9" i="11"/>
  <c r="C9" i="7"/>
  <c r="B9" i="10"/>
  <c r="H8" i="11"/>
  <c r="H11" i="11" s="1"/>
  <c r="L9" i="11"/>
  <c r="A24" i="4" l="1"/>
  <c r="E17" i="3"/>
  <c r="C28" i="11"/>
  <c r="B26" i="10"/>
  <c r="C21" i="10"/>
  <c r="B27" i="10"/>
  <c r="B28" i="10"/>
  <c r="J11" i="11"/>
  <c r="B15" i="11" s="1"/>
  <c r="B17" i="11" s="1"/>
  <c r="B19" i="11" s="1"/>
  <c r="B20" i="11" s="1"/>
  <c r="B21" i="11" s="1"/>
  <c r="E13" i="5"/>
  <c r="F33" i="10"/>
  <c r="B33" i="10"/>
  <c r="D33" i="10"/>
  <c r="C33" i="10"/>
  <c r="E33" i="10"/>
  <c r="C6" i="7"/>
  <c r="B10" i="7"/>
  <c r="K11" i="11"/>
  <c r="B16" i="11" s="1"/>
  <c r="B22" i="10"/>
  <c r="B21" i="7"/>
  <c r="D17" i="3"/>
  <c r="C10" i="3"/>
  <c r="E8" i="3"/>
  <c r="B12" i="6"/>
  <c r="D11" i="6" s="1"/>
  <c r="E8" i="6"/>
  <c r="C22" i="6"/>
  <c r="D8" i="3"/>
  <c r="B10" i="3"/>
  <c r="B42" i="9"/>
  <c r="B43" i="9" s="1"/>
  <c r="B12" i="4"/>
  <c r="D10" i="3" l="1"/>
  <c r="B12" i="3"/>
  <c r="B45" i="10"/>
  <c r="C8" i="8"/>
  <c r="D8" i="8" s="1"/>
  <c r="C7" i="8"/>
  <c r="D7" i="8" s="1"/>
  <c r="C10" i="7"/>
  <c r="C6" i="8"/>
  <c r="D6" i="8" s="1"/>
  <c r="B15" i="7"/>
  <c r="C28" i="10"/>
  <c r="C27" i="10"/>
  <c r="C26" i="10"/>
  <c r="D21" i="10"/>
  <c r="B56" i="10"/>
  <c r="D28" i="11"/>
  <c r="E28" i="11" s="1"/>
  <c r="B24" i="10"/>
  <c r="B25" i="10" s="1"/>
  <c r="B29" i="10" s="1"/>
  <c r="B34" i="10" s="1"/>
  <c r="B23" i="10"/>
  <c r="E22" i="10"/>
  <c r="D22" i="10"/>
  <c r="C22" i="10"/>
  <c r="B56" i="9"/>
  <c r="B58" i="9" s="1"/>
  <c r="B14" i="4"/>
  <c r="D71" i="9"/>
  <c r="C12" i="3"/>
  <c r="E10" i="3"/>
  <c r="B47" i="9"/>
  <c r="C47" i="9" s="1"/>
  <c r="B49" i="9"/>
  <c r="C49" i="9" s="1"/>
  <c r="B50" i="9"/>
  <c r="C50" i="9" s="1"/>
  <c r="B48" i="9"/>
  <c r="C48" i="9" s="1"/>
  <c r="B46" i="9"/>
  <c r="C46" i="9" s="1"/>
  <c r="E71" i="9" l="1"/>
  <c r="C23" i="10"/>
  <c r="C24" i="10"/>
  <c r="C25" i="10" s="1"/>
  <c r="C29" i="10" s="1"/>
  <c r="C34" i="10" s="1"/>
  <c r="D28" i="10"/>
  <c r="D27" i="10"/>
  <c r="E21" i="10"/>
  <c r="D26" i="10"/>
  <c r="B28" i="11"/>
  <c r="F28" i="11" s="1"/>
  <c r="B53" i="10"/>
  <c r="B54" i="10" s="1"/>
  <c r="B55" i="10" s="1"/>
  <c r="B57" i="10" s="1"/>
  <c r="A59" i="10" s="1"/>
  <c r="B20" i="7"/>
  <c r="B22" i="7" s="1"/>
  <c r="E46" i="9"/>
  <c r="D46" i="9"/>
  <c r="D24" i="10"/>
  <c r="D25" i="10" s="1"/>
  <c r="D23" i="10"/>
  <c r="E48" i="9"/>
  <c r="D48" i="9"/>
  <c r="C64" i="9"/>
  <c r="B72" i="9"/>
  <c r="C66" i="9"/>
  <c r="C65" i="9"/>
  <c r="E23" i="10"/>
  <c r="E24" i="10"/>
  <c r="E25" i="10"/>
  <c r="E49" i="9"/>
  <c r="D49" i="9"/>
  <c r="F8" i="8"/>
  <c r="B16" i="8"/>
  <c r="E8" i="8"/>
  <c r="B22" i="8" s="1"/>
  <c r="D22" i="8" s="1"/>
  <c r="E47" i="9"/>
  <c r="D47" i="9"/>
  <c r="B28" i="4"/>
  <c r="B11" i="12"/>
  <c r="D11" i="12" s="1"/>
  <c r="B44" i="2"/>
  <c r="B10" i="12"/>
  <c r="D10" i="12" s="1"/>
  <c r="B14" i="8"/>
  <c r="B13" i="12" s="1"/>
  <c r="D13" i="12" s="1"/>
  <c r="F6" i="8"/>
  <c r="D14" i="8"/>
  <c r="E6" i="8"/>
  <c r="B20" i="8" s="1"/>
  <c r="D20" i="8" s="1"/>
  <c r="B9" i="12"/>
  <c r="D9" i="12" s="1"/>
  <c r="E50" i="9"/>
  <c r="D50" i="9"/>
  <c r="C14" i="3"/>
  <c r="E12" i="3"/>
  <c r="E7" i="8"/>
  <c r="B21" i="8" s="1"/>
  <c r="D21" i="8" s="1"/>
  <c r="B12" i="12"/>
  <c r="D12" i="12" s="1"/>
  <c r="B15" i="8"/>
  <c r="F7" i="8"/>
  <c r="B5" i="9"/>
  <c r="D12" i="3"/>
  <c r="B14" i="3"/>
  <c r="D29" i="10" l="1"/>
  <c r="D34" i="10" s="1"/>
  <c r="C31" i="9"/>
  <c r="E10" i="9"/>
  <c r="F9" i="9"/>
  <c r="C30" i="9"/>
  <c r="C29" i="9"/>
  <c r="C28" i="9"/>
  <c r="B34" i="9"/>
  <c r="C32" i="9"/>
  <c r="F10" i="9"/>
  <c r="E9" i="9"/>
  <c r="B13" i="9" s="1"/>
  <c r="B15" i="9" s="1"/>
  <c r="F8" i="9"/>
  <c r="E8" i="9"/>
  <c r="C30" i="4"/>
  <c r="C29" i="4"/>
  <c r="F30" i="11"/>
  <c r="A32" i="11" s="1"/>
  <c r="B6" i="12"/>
  <c r="D6" i="12" s="1"/>
  <c r="D14" i="3"/>
  <c r="F109" i="2"/>
  <c r="G6" i="11" s="1"/>
  <c r="K6" i="11" s="1"/>
  <c r="E14" i="3"/>
  <c r="B7" i="12"/>
  <c r="D7" i="12" s="1"/>
  <c r="D23" i="8"/>
  <c r="B73" i="9"/>
  <c r="C72" i="9"/>
  <c r="D72" i="9" s="1"/>
  <c r="E72" i="9" s="1"/>
  <c r="E27" i="10"/>
  <c r="F21" i="10"/>
  <c r="E28" i="10"/>
  <c r="E26" i="10"/>
  <c r="E29" i="10" s="1"/>
  <c r="E34" i="10" s="1"/>
  <c r="B14" i="9" l="1"/>
  <c r="B16" i="9" s="1"/>
  <c r="B35" i="9"/>
  <c r="D34" i="9" s="1"/>
  <c r="A22" i="9"/>
  <c r="B17" i="9"/>
  <c r="F26" i="10"/>
  <c r="F28" i="10"/>
  <c r="F27" i="10"/>
  <c r="F23" i="10"/>
  <c r="E28" i="9"/>
  <c r="F28" i="9" s="1"/>
  <c r="D28" i="9"/>
  <c r="E17" i="12"/>
  <c r="B17" i="12"/>
  <c r="E29" i="9"/>
  <c r="F29" i="9" s="1"/>
  <c r="D29" i="9"/>
  <c r="D30" i="9"/>
  <c r="E30" i="9"/>
  <c r="F30" i="9" s="1"/>
  <c r="D31" i="9"/>
  <c r="E31" i="9"/>
  <c r="F31" i="9" s="1"/>
  <c r="B74" i="9"/>
  <c r="C73" i="9"/>
  <c r="D73" i="9" s="1"/>
  <c r="E73" i="9" s="1"/>
  <c r="D32" i="9"/>
  <c r="E32" i="9"/>
  <c r="F32" i="9" s="1"/>
  <c r="B75" i="9" l="1"/>
  <c r="C74" i="9"/>
  <c r="D74" i="9" s="1"/>
  <c r="E74" i="9" s="1"/>
  <c r="F29" i="10"/>
  <c r="C68" i="10" l="1"/>
  <c r="D67" i="10"/>
  <c r="E66" i="10"/>
  <c r="F65" i="10"/>
  <c r="B65" i="10"/>
  <c r="C64" i="10"/>
  <c r="E68" i="10"/>
  <c r="E67" i="10"/>
  <c r="D66" i="10"/>
  <c r="D65" i="10"/>
  <c r="D64" i="10"/>
  <c r="F68" i="10"/>
  <c r="C67" i="10"/>
  <c r="B66" i="10"/>
  <c r="E64" i="10"/>
  <c r="F34" i="10"/>
  <c r="B36" i="10" s="1"/>
  <c r="D68" i="10"/>
  <c r="B67" i="10"/>
  <c r="E65" i="10"/>
  <c r="B64" i="10"/>
  <c r="B68" i="10"/>
  <c r="F66" i="10"/>
  <c r="C65" i="10"/>
  <c r="B37" i="10"/>
  <c r="B38" i="10" s="1"/>
  <c r="F67" i="10"/>
  <c r="C66" i="10"/>
  <c r="F64" i="10"/>
  <c r="B76" i="9"/>
  <c r="C76" i="9" s="1"/>
  <c r="D76" i="9" s="1"/>
  <c r="C75" i="9"/>
  <c r="D75" i="9" s="1"/>
  <c r="E75" i="9" s="1"/>
  <c r="E76" i="9" l="1"/>
  <c r="A78" i="9"/>
  <c r="B39" i="10"/>
  <c r="B44" i="10" s="1"/>
  <c r="B46" i="10" s="1"/>
  <c r="B47" i="10" s="1"/>
  <c r="B40" i="10"/>
  <c r="B49" i="10" l="1"/>
  <c r="B26" i="8"/>
</calcChain>
</file>

<file path=xl/sharedStrings.xml><?xml version="1.0" encoding="utf-8"?>
<sst xmlns="http://schemas.openxmlformats.org/spreadsheetml/2006/main" count="633" uniqueCount="493">
  <si>
    <t>מודל החישובים — דלק מערכות רכב</t>
  </si>
  <si>
    <t>כל מספר בדוח, והנוסחה שמייצרת אותו · מחצית ראשונה 2026</t>
  </si>
  <si>
    <t>למה הקובץ הזה קיים</t>
  </si>
  <si>
    <t>הדוח מגיע למסקנות. הקובץ הזה מאפשר לבדוק אותן: לשנות הנחה ולראות מיד מה קורה למסקנה. אין כאן ערך מחושב שהודבק — כל תא שאינו קלט הוא נוסחה.</t>
  </si>
  <si>
    <t>חוק אחד</t>
  </si>
  <si>
    <t>כל המספרים הקשיחים יושבים בגיליון "קלט" ובשום מקום אחר. שינוי ערך בגיליון הקלט מתעדכן בכל שאר הגיליונות.</t>
  </si>
  <si>
    <t>צבעי הקוד</t>
  </si>
  <si>
    <t xml:space="preserve">   כחול</t>
  </si>
  <si>
    <t>נתון קלט — מוקלד ידנית ממקור מדווח. התאים היחידים הניתנים לשינוי.</t>
  </si>
  <si>
    <t xml:space="preserve">   שחור</t>
  </si>
  <si>
    <t>נוסחה בתוך אותו גיליון.</t>
  </si>
  <si>
    <t xml:space="preserve">   ירוק</t>
  </si>
  <si>
    <t>הפניה לגיליון אחר.</t>
  </si>
  <si>
    <t>תאריכי חיתוך</t>
  </si>
  <si>
    <t>דוחות כספיים 30.6.2026 · מסירות ינואר–אוגוסט 2026 · מחירי שוק 22.9.2026. רבעון שלישי 2026 טרם פורסם במועד הכתיבה.</t>
  </si>
  <si>
    <t>יחידות</t>
  </si>
  <si>
    <t>גיליונות המפל, NAV והתרחישים באלפי ₪. גיליונות המגזרים וכלכלת היחידה במיליוני ₪. כל גיליון מציין את יחידותיו בכותרת.</t>
  </si>
  <si>
    <t>הגיליונות</t>
  </si>
  <si>
    <t xml:space="preserve">   קלט</t>
  </si>
  <si>
    <t>כל הנתונים המדווחים, עם מקור ודרג לכל אחד.</t>
  </si>
  <si>
    <t xml:space="preserve">   מפל</t>
  </si>
  <si>
    <t>מהרווח המגזרי המדווח אל ההפסד לבעלי המניות — מחצית מול מחצית.</t>
  </si>
  <si>
    <t xml:space="preserve">   כיסוי ריבית</t>
  </si>
  <si>
    <t>הממצא המרכזי, 0.77x, ומבחן הרגישות של הנחת הנטרול.</t>
  </si>
  <si>
    <t xml:space="preserve">   מגזרים</t>
  </si>
  <si>
    <t>שבעת המגזרים: הכנסות, רווח, שולי, ובעלות אפקטיבית אחרי שרשור.</t>
  </si>
  <si>
    <t xml:space="preserve">   כלכלת יחידה</t>
  </si>
  <si>
    <t>רווח לרכב לאורך זמן, ותרחישי 2030 שנגזרים ממנו.</t>
  </si>
  <si>
    <t xml:space="preserve">   NAV</t>
  </si>
  <si>
    <t>סכום החלקים, והשווי המשתמע לפעילות הרכב כשארית.</t>
  </si>
  <si>
    <t xml:space="preserve">   תרחישים</t>
  </si>
  <si>
    <t>דובי · בסיס · שורי — עד שווי הון ומחיר למניה.</t>
  </si>
  <si>
    <t xml:space="preserve">   רגישות</t>
  </si>
  <si>
    <t>שלוש ההנחות שמזיזות את התוצאה, כל אחת לחוד ואז יחד.</t>
  </si>
  <si>
    <t xml:space="preserve">   בדיקות</t>
  </si>
  <si>
    <t>כל מה שחייב להסתדר. פתח את הגיליון הזה ראשון.</t>
  </si>
  <si>
    <t>אזהרה</t>
  </si>
  <si>
    <t>המודל אינו ייעוץ השקעות. שתי הנחות בו הן שיקול דעת ולא נתון מדווח — הנחת הנטרול ושווי הנדל"ן. שתיהן מסומנות בקלט ונבדקות ברגישות.</t>
  </si>
  <si>
    <t>קלט — כל הנתונים המדווחים</t>
  </si>
  <si>
    <t>כחול = מוקלד. זה הגיליון היחיד שבו יש מספרים קשיחים.</t>
  </si>
  <si>
    <t>א · דוח רווח והפסד, מחצית — אלפי ₪</t>
  </si>
  <si>
    <t>שורה</t>
  </si>
  <si>
    <t>מחצית 2026</t>
  </si>
  <si>
    <t>מחצית 2025</t>
  </si>
  <si>
    <t>מקור</t>
  </si>
  <si>
    <t>דרג</t>
  </si>
  <si>
    <t>הערה</t>
  </si>
  <si>
    <t>רווח מגזרי מדווח</t>
  </si>
  <si>
    <t>ביאור מגזרי פעילות</t>
  </si>
  <si>
    <t>הוצאות בלתי מיוחסות</t>
  </si>
  <si>
    <t>דוח כספי מאוחד</t>
  </si>
  <si>
    <t>הוצאות מימון, נטו</t>
  </si>
  <si>
    <t>מסים על ההכנסה</t>
  </si>
  <si>
    <t>חלק זכויות המיעוט</t>
  </si>
  <si>
    <t>סימן: שלילי = המיעוט הרוויח וזה נגרע מבעלי המניות. 2025 חיובי — למיעוט היה הפסד.</t>
  </si>
  <si>
    <t>הכנסות מאוחדות</t>
  </si>
  <si>
    <t>חוב פיננסי נטו — מאוחד</t>
  </si>
  <si>
    <t>ב · השערוך החד־פעמי והנחת הנטרול — אלפי ₪</t>
  </si>
  <si>
    <t>פריט</t>
  </si>
  <si>
    <t>ערך</t>
  </si>
  <si>
    <t>שערוך נדל"ן להשקעה, מחצית</t>
  </si>
  <si>
    <t>דוח ורידיס</t>
  </si>
  <si>
    <t>מדווח בידי ורידיס עצמה — אימות עצמאי מדוח דלק רכב.</t>
  </si>
  <si>
    <t>קפיצת מגזר "אחרים"</t>
  </si>
  <si>
    <t>נגזר מביאור המגזרים</t>
  </si>
  <si>
    <t>הנחת הנטרול  ←  שנה כאן</t>
  </si>
  <si>
    <t>מונח — שיקול דעת</t>
  </si>
  <si>
    <t>—</t>
  </si>
  <si>
    <t>המספר היחיד בקובץ שהוא הכרעה ולא דיווח. גיליון "כיסוי ריבית" בודק 70 / 101 / 109.5.</t>
  </si>
  <si>
    <t>ג · סכום החלקים — אלפי ₪</t>
  </si>
  <si>
    <t>רכיב</t>
  </si>
  <si>
    <t>שיטה</t>
  </si>
  <si>
    <t>שווי שוק ורידיס</t>
  </si>
  <si>
    <t>שיעור האחזקה</t>
  </si>
  <si>
    <t>אחזקת ורידיס  ←  נגזרת, לא מוקלדת</t>
  </si>
  <si>
    <t>שווי שוק × שיעור</t>
  </si>
  <si>
    <t>ורידיס · 153,523,610 מניות × 4,760 אג׳ · 17.9.2026</t>
  </si>
  <si>
    <t>נדל"ן  ←  הנחה</t>
  </si>
  <si>
    <t>אומדן — מונח</t>
  </si>
  <si>
    <t>שיקול דעת. נבדק בגיליון הרגישות בטווח 450–750.</t>
  </si>
  <si>
    <t>היילו</t>
  </si>
  <si>
    <t>יתרה מאזנית</t>
  </si>
  <si>
    <t>חוב פיננסי נטו מחוץ לורידיס</t>
  </si>
  <si>
    <t>נגזר מהמאזן</t>
  </si>
  <si>
    <t>שווי שוק — 22.9.2026</t>
  </si>
  <si>
    <t>הבורסה בתל אביב</t>
  </si>
  <si>
    <t>מספר מניות — אלפי</t>
  </si>
  <si>
    <t>נגזר משווי השוק</t>
  </si>
  <si>
    <t>ד · שבעת המגזרים — מיליוני ₪</t>
  </si>
  <si>
    <t>מגזר</t>
  </si>
  <si>
    <t>הכנסות H1-26</t>
  </si>
  <si>
    <t>רווח H1-26</t>
  </si>
  <si>
    <t>רווח H1-25</t>
  </si>
  <si>
    <t>בעלות דלק בישות</t>
  </si>
  <si>
    <t>חלק הישות בנכס</t>
  </si>
  <si>
    <t>ייבוא ומכירת רכב</t>
  </si>
  <si>
    <t>ביאור מגזרי פעילות — 2025 נגזר</t>
  </si>
  <si>
    <t>חלפים ושירותי מוסך</t>
  </si>
  <si>
    <t>נדל"ן, מימון וליסינג</t>
  </si>
  <si>
    <t>איכות הסביבה</t>
  </si>
  <si>
    <t>קרטון — אינפיניה</t>
  </si>
  <si>
    <t>התפלת מים</t>
  </si>
  <si>
    <t>אנרגיה</t>
  </si>
  <si>
    <t>שלושה ערכי 2025 נגזרו משיעורי השינוי המדווחים: רכב, מים, אנרגיה.</t>
  </si>
  <si>
    <t>ה · מתחרים — רמת מגזר הרכב, להשוואת כיסוי</t>
  </si>
  <si>
    <t>זהו מגזר הרכב בלבד. נתונים קבוצתיים — סעיף יב.</t>
  </si>
  <si>
    <t>מדד</t>
  </si>
  <si>
    <t>דלק רכב</t>
  </si>
  <si>
    <t>קרסו</t>
  </si>
  <si>
    <t>UMI</t>
  </si>
  <si>
    <t>כיסוי ריבית מנוטרל</t>
  </si>
  <si>
    <t>רווח מגזר הרכב — מ׳ ₪</t>
  </si>
  <si>
    <t>שולי מגזר הרכב</t>
  </si>
  <si>
    <t>ו · כלכלת היחידה — היסטוריה</t>
  </si>
  <si>
    <t>תקופה</t>
  </si>
  <si>
    <t>רווח מגזר היבוא — מ׳ ₪</t>
  </si>
  <si>
    <t>2024 — שנה מלאה</t>
  </si>
  <si>
    <t>מדווח</t>
  </si>
  <si>
    <t>היחידות — אומדן מנתוני מסירות</t>
  </si>
  <si>
    <t>ז · תרחישי 2030</t>
  </si>
  <si>
    <t>תרחיש</t>
  </si>
  <si>
    <t>רווח ליחידה — אלפי ₪</t>
  </si>
  <si>
    <t>חלפים ומוסך — מ׳ ₪</t>
  </si>
  <si>
    <t>שווי הפעילות — אלפי ₪</t>
  </si>
  <si>
    <t>דובי</t>
  </si>
  <si>
    <t>הצי מזדקן, אין מותג חלופי</t>
  </si>
  <si>
    <t>בסיס</t>
  </si>
  <si>
    <t>התייצבות סביב 3% נתח</t>
  </si>
  <si>
    <t>שורי</t>
  </si>
  <si>
    <t>מותג סיני מצליח ומימון</t>
  </si>
  <si>
    <t>שווי הפעילות מגיע מהיוון תזרים שאינו משוחזר בקובץ הזה — ולכן הוא קלט.</t>
  </si>
  <si>
    <t>ח · רגישות — טווחי ההנחות</t>
  </si>
  <si>
    <t>הנחה</t>
  </si>
  <si>
    <t>פסימי</t>
  </si>
  <si>
    <t>מרכזי</t>
  </si>
  <si>
    <t>אופטימי</t>
  </si>
  <si>
    <t>השפעה על שווי ההון</t>
  </si>
  <si>
    <t>חוב פיננסי נטו — מ׳ ₪</t>
  </si>
  <si>
    <t>שקל מול שקל</t>
  </si>
  <si>
    <t>שווי הנדל"ן — מ׳ ₪</t>
  </si>
  <si>
    <t>שיעור היוון</t>
  </si>
  <si>
    <t>מהיוון התזרים — קלט</t>
  </si>
  <si>
    <t>השפעת ההיוון על שווי ההון — מ׳ ₪</t>
  </si>
  <si>
    <t>נגזר מהיוון התזרים — אינו משוחזר כאן</t>
  </si>
  <si>
    <t>ט · שוק ומסירות</t>
  </si>
  <si>
    <t>2026</t>
  </si>
  <si>
    <t>2025</t>
  </si>
  <si>
    <t>סך מסירות בשוק — ינואר–אוגוסט</t>
  </si>
  <si>
    <t>איגוד יבואני הרכב</t>
  </si>
  <si>
    <t>נתח דלק רכב</t>
  </si>
  <si>
    <t>נתח יצרניות סין</t>
  </si>
  <si>
    <t>מסירות מותגי הקבוצה — ינואר–מאי</t>
  </si>
  <si>
    <t>מותג</t>
  </si>
  <si>
    <t>מאזדה</t>
  </si>
  <si>
    <t>BMW ו-MINI</t>
  </si>
  <si>
    <t>פורד</t>
  </si>
  <si>
    <t>דונגפנג</t>
  </si>
  <si>
    <t>י · תזרים מזומנים מפעילות שוטפת — מחצית, אלפי ₪</t>
  </si>
  <si>
    <t>תזרים מזומנים מפעילות שוטפת</t>
  </si>
  <si>
    <t>מאיה — נתוני דוחות כספיים</t>
  </si>
  <si>
    <t>התהפך — 853 מ׳ ₪ הפרש בין המחציות</t>
  </si>
  <si>
    <t>השינוי בין המחציות</t>
  </si>
  <si>
    <t>מחושב — מחצית 2026 בניכוי מחצית 2025</t>
  </si>
  <si>
    <t>יא · הנחות ה‑DCF</t>
  </si>
  <si>
    <t>ריבית חסרת סיכון</t>
  </si>
  <si>
    <t>אג"ח ממשלתי 10 שנים</t>
  </si>
  <si>
    <t>פרמיית סיכון שוק</t>
  </si>
  <si>
    <t>נוהג מקובל בשוק המקומי</t>
  </si>
  <si>
    <t>ביתא</t>
  </si>
  <si>
    <t>ענף יבוא ושיווק רכב</t>
  </si>
  <si>
    <t>מחיר החוב</t>
  </si>
  <si>
    <t>עלות החוב בפועל</t>
  </si>
  <si>
    <t>שיעור מס</t>
  </si>
  <si>
    <t>מס חברות בישראל</t>
  </si>
  <si>
    <t>משקל החוב במבנה ההון</t>
  </si>
  <si>
    <t>יעד ארוך טווח</t>
  </si>
  <si>
    <t>צמיחה לצמיתות</t>
  </si>
  <si>
    <t>מתחת לצמיחת התמ"ג</t>
  </si>
  <si>
    <t>צמיחת הכנסות בתחזית</t>
  </si>
  <si>
    <t>התאוששות הדרגתית בנפח</t>
  </si>
  <si>
    <t>פחת כשיעור מההכנסות</t>
  </si>
  <si>
    <t>עסק דל‑נכסים</t>
  </si>
  <si>
    <t>השקעות כשיעור מההכנסות</t>
  </si>
  <si>
    <t>אולמות תצוגה ומוסכים</t>
  </si>
  <si>
    <t>הון חוזר מגידול בהכנסות</t>
  </si>
  <si>
    <t>עסק עתיר מלאי</t>
  </si>
  <si>
    <t>יב · נתוני מתחרות — רמה קבוצתית, למכפילים · מיליוני ₪</t>
  </si>
  <si>
    <t>חברה</t>
  </si>
  <si>
    <t>שווי שוק</t>
  </si>
  <si>
    <t>חוב פיננסי נטו</t>
  </si>
  <si>
    <t>הכנסות 2026E</t>
  </si>
  <si>
    <t>רווח תפעולי 2026E</t>
  </si>
  <si>
    <t>רווח נקי 2026E</t>
  </si>
  <si>
    <t>צמיחת הכנסות</t>
  </si>
  <si>
    <t>דלק מערכות רכב</t>
  </si>
  <si>
    <t>קרסו מוטורס</t>
  </si>
  <si>
    <t>יוניברסל מוטורס</t>
  </si>
  <si>
    <t>ש. שלמה החזקות — פרטית</t>
  </si>
  <si>
    <t>שורת דלק רכב מחושבת מהנתונים שלמעלה — הכנסות ורווח הוכפלו ממחצית לשנה מלאה. הצמיחה מול 6,203 מ׳ ₪ ב‑2025.</t>
  </si>
  <si>
    <t>רמה קבוצתית — אינה בת-השוואה לשולי מגזר הרכב שבסעיף ה. קרסו: 12.0% במגזר הרכב מול 7.4% קבוצתי — שניהם נכונים.</t>
  </si>
  <si>
    <t>המפל — מרווח מגזרי אל ההפסד לבעלי המניות</t>
  </si>
  <si>
    <t>אלפי ₪ · מחצית מול מחצית. כל שורה מצטברת מקודמתה.</t>
  </si>
  <si>
    <t>שלב</t>
  </si>
  <si>
    <t>שינוי</t>
  </si>
  <si>
    <t>שינוי %</t>
  </si>
  <si>
    <t>הנוסחה</t>
  </si>
  <si>
    <t>קלט</t>
  </si>
  <si>
    <t>בניכוי הוצאות בלתי מיוחסות</t>
  </si>
  <si>
    <t>רווח תפעולי מיוחס</t>
  </si>
  <si>
    <t>סכום שתי השורות מעל</t>
  </si>
  <si>
    <t>בניכוי הוצאות מימון, נטו</t>
  </si>
  <si>
    <t>רווח לפני מס</t>
  </si>
  <si>
    <t>רווח תפעולי פחות מימון</t>
  </si>
  <si>
    <t>בניכוי מסים על ההכנסה</t>
  </si>
  <si>
    <t>רווח נקי כולל זכויות מיעוט</t>
  </si>
  <si>
    <t>לפני מס פחות מס</t>
  </si>
  <si>
    <t>בניכוי חלק זכויות המיעוט</t>
  </si>
  <si>
    <t>הפסד מיוחס לבעלי המניות</t>
  </si>
  <si>
    <t>השורה האחרונה המדווחת</t>
  </si>
  <si>
    <t>הנטרול — מוצג כהערה ולא כצעד במפל</t>
  </si>
  <si>
    <t>רווח מגזרי בנטרול השערוך</t>
  </si>
  <si>
    <t>מדווח פחות הנחת הנטרול. 2025 ללא נטרול — לא היה שערוך מקביל.</t>
  </si>
  <si>
    <t>שני הצעדים שאינם תפעוליים</t>
  </si>
  <si>
    <t>מימון נטו ועוד חלק המיעוט</t>
  </si>
  <si>
    <t>שני הגדולים במפל — ואף אחד מהם אינו עלות תפעולית.</t>
  </si>
  <si>
    <t>מזה — כשיעור מהרווח המגזרי המדווח</t>
  </si>
  <si>
    <t>כיסוי הריבית — הממצא המרכזי</t>
  </si>
  <si>
    <t>אלפי ₪. הכיסוי מודד רווח תפעולי מיוחס מול הוצאות המימון.</t>
  </si>
  <si>
    <t>כיסוי  =  (רווח מגזרי מנוטרל ‎−‎ הוצאות בלתי מיוחסות)  ÷  הוצאות מימון נטו</t>
  </si>
  <si>
    <t>ההוצאות הבלתי מיוחסות נגרעות לפני היחס. בלעדיהן מתקבל 0.80x ולא 0.77x — ההפרש אינו עיגול.</t>
  </si>
  <si>
    <t>גיליון מפל</t>
  </si>
  <si>
    <t>מונה — רווח תפעולי מנוטרל</t>
  </si>
  <si>
    <t>מכנה — הוצאות מימון נטו</t>
  </si>
  <si>
    <t>מתחת ל‑1.0 פירושו שהרווח התפעולי אינו מכסה את הריבית.</t>
  </si>
  <si>
    <t>עד כמה המסקנה תלויה בהנחת הנטרול</t>
  </si>
  <si>
    <t>הנחת הנטרול — אלפי ₪</t>
  </si>
  <si>
    <t>רווח מגזרי מנוטרל</t>
  </si>
  <si>
    <t>מונה</t>
  </si>
  <si>
    <t>כיסוי</t>
  </si>
  <si>
    <t>שינוי מול 2025</t>
  </si>
  <si>
    <t>פסיקה</t>
  </si>
  <si>
    <t>ללא נטרול כלל</t>
  </si>
  <si>
    <t>נטרול שמרני</t>
  </si>
  <si>
    <t>ההנחה שנבחרה</t>
  </si>
  <si>
    <t>נטרול מלוא הקפיצה</t>
  </si>
  <si>
    <t>מול המתחרים</t>
  </si>
  <si>
    <t>כיסוי מנוטרל</t>
  </si>
  <si>
    <t>פער מול דלק רכב</t>
  </si>
  <si>
    <t>יוניון מוטורס</t>
  </si>
  <si>
    <t>שבעת המגזרים</t>
  </si>
  <si>
    <t>מיליוני ₪. הבעלות האפקטיבית היא מכפלה של שתי שכבות שרשור.</t>
  </si>
  <si>
    <t>שולי רווח</t>
  </si>
  <si>
    <t>שינוי ברווח</t>
  </si>
  <si>
    <t>% מהרווח</t>
  </si>
  <si>
    <t>בעלות בישות</t>
  </si>
  <si>
    <t>חלק בנכס</t>
  </si>
  <si>
    <t>אפקטיבי</t>
  </si>
  <si>
    <t>סך המגזרים</t>
  </si>
  <si>
    <t>התאמה להכנסות המאוחדות</t>
  </si>
  <si>
    <t>סך הכנסות המגזרים</t>
  </si>
  <si>
    <t>הכנסות מאוחדות מדווחות</t>
  </si>
  <si>
    <t>קיזוזים בין־מגזריים</t>
  </si>
  <si>
    <t>נגזר כהפרש — אינו מדווח בנפרד</t>
  </si>
  <si>
    <t>צד דלק מול צד ורידיס</t>
  </si>
  <si>
    <t>צד</t>
  </si>
  <si>
    <t>הכנסות</t>
  </si>
  <si>
    <t>רווח</t>
  </si>
  <si>
    <t>בעלות</t>
  </si>
  <si>
    <t>צד דלק — בבעלות מלאה</t>
  </si>
  <si>
    <t>100%</t>
  </si>
  <si>
    <t>צד ורידיס</t>
  </si>
  <si>
    <t>צד דלק — בנטרול השערוך</t>
  </si>
  <si>
    <t>אחרי הנטרול, הצד שבבעלות מלאה מייצר פחות ממחצית הרווח.</t>
  </si>
  <si>
    <t>כלכלת היחידה — הרווח שמייצר רכב אחד</t>
  </si>
  <si>
    <t>הטיעון המרכזי של הצד הנגדי נמדד כאן.</t>
  </si>
  <si>
    <t>רווח המגזר — מ׳ ₪</t>
  </si>
  <si>
    <t>מחצית מול מחצית — הטיעון של הצד הנגדי</t>
  </si>
  <si>
    <t>שינוי בנפח</t>
  </si>
  <si>
    <t>שינוי ברווח ליחידה</t>
  </si>
  <si>
    <t>שינוי ברווח המגזר</t>
  </si>
  <si>
    <t>תרחישי 2030 — נגזרים מאותם שני מניעים</t>
  </si>
  <si>
    <t>רווח יבוא — מ׳ ₪</t>
  </si>
  <si>
    <t>סך רווח המגזר — מ׳ ₪</t>
  </si>
  <si>
    <t>מחצית 2026 — לשם השוואה</t>
  </si>
  <si>
    <t>השוואת 2030 היא לשנה מלאה, ושורת 2026 היא מחצית. הכפלה פי שתיים היא בדיוק ההנחה שהצד הדובי חולק עליה.</t>
  </si>
  <si>
    <t>סכום החלקים — ומה נשאר לפעילות הרכב</t>
  </si>
  <si>
    <t>אלפי ₪. השווי לרכב אינו מוערך — הוא השארית אחרי כל השאר.</t>
  </si>
  <si>
    <t>% משווי השוק</t>
  </si>
  <si>
    <t>אחזקת ורידיס 50.07%</t>
  </si>
  <si>
    <t>שווי שוק של החברה הבת</t>
  </si>
  <si>
    <t>נדל"ן</t>
  </si>
  <si>
    <t>אומדן — הנחה</t>
  </si>
  <si>
    <t>בניכוי חוב פיננסי נטו מחוץ לורידיס</t>
  </si>
  <si>
    <t>סכום הרכיבים הידועים</t>
  </si>
  <si>
    <t>שווי שוק בפועל — 22.9.2026</t>
  </si>
  <si>
    <t>שווי משתמע לפעילות הרכב והשירות</t>
  </si>
  <si>
    <t>שארית של חיסור — ולכן סופגת את מלוא שגיאת ההנחות שמעליה. זהו האומדן הרגיש ביותר במודל.</t>
  </si>
  <si>
    <t>מה השווי הזה מחייב</t>
  </si>
  <si>
    <t>שיעור היוון לצמיתות</t>
  </si>
  <si>
    <t>רווח תפעולי מנורמל נדרש</t>
  </si>
  <si>
    <t>מ׳ ₪ לשנה</t>
  </si>
  <si>
    <t>קצב הרווח בפועל — מחצית מוכפלת</t>
  </si>
  <si>
    <t>המחיר מגלם — כשיעור מכוח הרווח הנוכחי</t>
  </si>
  <si>
    <t>הרווח הנדרש נגזר מהשווי המשתמע ומשיעור ההיוון שלמעלה — אותו שיעור המשמש בכל שאר הפרקים.</t>
  </si>
  <si>
    <t>שלושה תרחישים — עד מחיר למניה</t>
  </si>
  <si>
    <t>אלפי ₪. שווי ההון = שווי פעילות הרכב ועוד סכום שאר הרכיבים.</t>
  </si>
  <si>
    <t>שווי פעילות הרכב</t>
  </si>
  <si>
    <t>סכום שאר הרכיבים</t>
  </si>
  <si>
    <t>שווי הון</t>
  </si>
  <si>
    <t>מחיר למניה</t>
  </si>
  <si>
    <t>מול מחיר השוק</t>
  </si>
  <si>
    <t>מחיר השוק בפועל</t>
  </si>
  <si>
    <t>איפה בדיוק יושב המחיר</t>
  </si>
  <si>
    <t>מעל תרחיש הדובי</t>
  </si>
  <si>
    <t>מתחת לתרחיש הבסיס</t>
  </si>
  <si>
    <t>מתחת לתרחיש השורי</t>
  </si>
  <si>
    <t>ז · ההמלצה ומחיר היעד</t>
  </si>
  <si>
    <t>אג׳ למניה</t>
  </si>
  <si>
    <t>הסתברות</t>
  </si>
  <si>
    <t>תרומה לתוחלת</t>
  </si>
  <si>
    <t>המשקלים הם שיקול דעת מפורש ולא נגזרת. הם מוטים לדובי משום שהנכס שאמור לגשר על הפער משועבד חלקית לקובננט.</t>
  </si>
  <si>
    <t>תוחלת משוקללת</t>
  </si>
  <si>
    <t>מחיר היעד — מעוגל</t>
  </si>
  <si>
    <t>Upside מול מחיר השוק</t>
  </si>
  <si>
    <t>מול ה‑DCF</t>
  </si>
  <si>
    <t>רגישות — שלוש ההנחות שמזיזות את התוצאה</t>
  </si>
  <si>
    <t>מיליוני ₪, סביב תרחיש הבסיס. כל שורה משנה הנחה אחת בלבד.</t>
  </si>
  <si>
    <t>שווי ההון בתרחיש הבסיס</t>
  </si>
  <si>
    <t>מ׳ ₪</t>
  </si>
  <si>
    <t>שווי הון — פסימי</t>
  </si>
  <si>
    <t>שווי הון — אופטימי</t>
  </si>
  <si>
    <t>המנגנון</t>
  </si>
  <si>
    <t>חוב גבוה יותר = שווי הון נמוך יותר, שקל מול שקל</t>
  </si>
  <si>
    <t>שווי הנדל"ן</t>
  </si>
  <si>
    <t>נכס גבוה יותר = שווי הון גבוה יותר, שקל מול שקל</t>
  </si>
  <si>
    <t>ההשפעה מגיעה מהיוון התזרים — קלט, לא נגזר כאן</t>
  </si>
  <si>
    <t>הטווח המשולב — כל שלוש ההנחות יחד</t>
  </si>
  <si>
    <t>סך ההשפעות השליליות</t>
  </si>
  <si>
    <t>סכום שלוש ההשפעות, לא שורש ריבועים — טווח שמרני במתכוון.</t>
  </si>
  <si>
    <t>סך ההשפעות החיוביות</t>
  </si>
  <si>
    <t>רצפה משולבת — מחושבת</t>
  </si>
  <si>
    <t>תקרה משולבת — מחושבת</t>
  </si>
  <si>
    <t>הרצפה מול מחיר השוק</t>
  </si>
  <si>
    <t>ד · החשיפה הגדולה ביותר — שווי אחזקת ורידיס</t>
  </si>
  <si>
    <t>האחזקה נלקחה בשווי שוק והיא גדולה פי 2.1 מכל שווי הקבוצה. ורידיס עלתה 115% בשנה — ירידה בה מוחקת את הפער מול המחיר מהר מכל הנחה אחרת בקובץ.</t>
  </si>
  <si>
    <t>שינוי בשווי ורידיס</t>
  </si>
  <si>
    <t>שווי האחזקה</t>
  </si>
  <si>
    <t>שווי הון — בסיס</t>
  </si>
  <si>
    <t>הירידה בוורידיס שמאפסת את הפער — מתרחיש הבסיס</t>
  </si>
  <si>
    <t>הירידה שמאפסת אותו — מהרצפה המשולבת</t>
  </si>
  <si>
    <t>ה · נקודת האיזון — כמה יחידות דרושות לכיסוי הריבית</t>
  </si>
  <si>
    <t>הוצאות מימון, מחצית</t>
  </si>
  <si>
    <t>בתוספת הוצאות בלתי מיוחסות</t>
  </si>
  <si>
    <t>רווח מגזרי נדרש לכיסוי</t>
  </si>
  <si>
    <t>רווח מגזרי מנוטרל בפועל</t>
  </si>
  <si>
    <t>החוסר</t>
  </si>
  <si>
    <t>יחידות נוספות דרושות</t>
  </si>
  <si>
    <t>סך יחידות למחצית</t>
  </si>
  <si>
    <t>מול 4,300 היום</t>
  </si>
  <si>
    <t>בקצב שנתי</t>
  </si>
  <si>
    <t>ו · מסלול נזילות — כמה זמן אפשר לממן את החוסר</t>
  </si>
  <si>
    <t>ה‑DCF מעריך את הפעילות עד 2030 אך אינו בודק אם החברה מגיעה לשם. כאן נבדק כמה שנים ניתן לממן את פער הכיסוי, ובאיזה קצב הוא מחמיר.</t>
  </si>
  <si>
    <t>רווח תפעולי מנוטרל, שנתי</t>
  </si>
  <si>
    <t>הוצאות מימון, שנתי</t>
  </si>
  <si>
    <t>החוסר השנתי</t>
  </si>
  <si>
    <t>ריבית אפקטיבית משתמעת</t>
  </si>
  <si>
    <t>מקורות מימון אפשריים לחוסר</t>
  </si>
  <si>
    <t>סכום</t>
  </si>
  <si>
    <t>שנות כיסוי</t>
  </si>
  <si>
    <t>מימוש הנדל"ן</t>
  </si>
  <si>
    <t>שווי מאזני נמוך מהשוק</t>
  </si>
  <si>
    <t>מימוש 10% מאחזקת ורידיס</t>
  </si>
  <si>
    <t>משועבד חלקית — ראו הערה</t>
  </si>
  <si>
    <t>שניהם יחד</t>
  </si>
  <si>
    <t>התרחיש שהתזה מניחה</t>
  </si>
  <si>
    <t>ואם לא ממומש דבר — קצב ההחמרה</t>
  </si>
  <si>
    <t>שנה</t>
  </si>
  <si>
    <t>חוב נטו</t>
  </si>
  <si>
    <t>הוצאות מימון</t>
  </si>
  <si>
    <t>הערה מהותית: באוגוסט 2026 הועברו כ‑15 מיליון מניות ורידיס לחיזוק ההון העצמי לצורך עמידה באמות מידה פיננסיות. שורת "מימוש 10% מוורידיס" מניחה נכס פנוי — הנחה שהדיווח הזה מערער.</t>
  </si>
  <si>
    <t>DCF — היוון תזרים פעילות הרכב והשירות</t>
  </si>
  <si>
    <t>מיליוני ₪. המגזרים שבבעלות ורידיס מוערכים בנפרד ב‑NAV ואינם כאן.</t>
  </si>
  <si>
    <t>א · מחיר ההון</t>
  </si>
  <si>
    <t>מחיר ההון העצמי</t>
  </si>
  <si>
    <t>מחיר החוב אחרי מס</t>
  </si>
  <si>
    <t>משקל החוב</t>
  </si>
  <si>
    <t>משקל ההון העצמי</t>
  </si>
  <si>
    <t>WACC</t>
  </si>
  <si>
    <t>משמש להיוון התחזית ולערך השייר כאחד.</t>
  </si>
  <si>
    <t>ב · תחזית התזרים החופשי</t>
  </si>
  <si>
    <t>2026E</t>
  </si>
  <si>
    <t>2027E</t>
  </si>
  <si>
    <t>2028E</t>
  </si>
  <si>
    <t>2029E</t>
  </si>
  <si>
    <t>2030E</t>
  </si>
  <si>
    <t>מחצית 2026 שהוכפלה, וצומחת בקצב שבהנחות</t>
  </si>
  <si>
    <t>רווח תפעולי</t>
  </si>
  <si>
    <t>מעוגן בשני קצוות: הקצב הנוכחי ותרחיש הבסיס ל‑2030</t>
  </si>
  <si>
    <t>שולי רווח תפעולי</t>
  </si>
  <si>
    <t>מס</t>
  </si>
  <si>
    <t>רווח תפעולי אחרי מס</t>
  </si>
  <si>
    <t>בתוספת פחת והפחתות</t>
  </si>
  <si>
    <t>בניכוי השקעות ברכוש קבוע</t>
  </si>
  <si>
    <t>בניכוי גידול בהון חוזר</t>
  </si>
  <si>
    <t>תזרים מזומנים חופשי</t>
  </si>
  <si>
    <t>ג · היוון</t>
  </si>
  <si>
    <t>שנת היוון</t>
  </si>
  <si>
    <t>מקדם היוון</t>
  </si>
  <si>
    <t>ערך נוכחי של התזרים</t>
  </si>
  <si>
    <t>סכום הערכים הנוכחיים, 2026–2030</t>
  </si>
  <si>
    <t>ערך שייר — היוון לצמיתות בצמיחה</t>
  </si>
  <si>
    <t>תזרים 2030 שצומח לצמיתות בקצב שבהנחות</t>
  </si>
  <si>
    <t>ערך נוכחי של ערך השייר</t>
  </si>
  <si>
    <t>שווי הפעילות</t>
  </si>
  <si>
    <t>מזה — חלקו של ערך השייר</t>
  </si>
  <si>
    <t>מעל 75% פירושו שהערכת השווי נשענת כמעט כולה על הנחת הצמיתות.</t>
  </si>
  <si>
    <t>ד · מהשווי לפעילות אל מחיר המניה</t>
  </si>
  <si>
    <t>שווי פעילות הרכב והשירות — DCF</t>
  </si>
  <si>
    <t>בתוספת סכום שאר הרכיבים</t>
  </si>
  <si>
    <t>פער מול השוק</t>
  </si>
  <si>
    <t>ה · Reverse DCF — מה המחיר מגלם</t>
  </si>
  <si>
    <t>במקום לשאול כמה הפעילות שווה, כאן נשאל אילו רווחים המחיר הנוכחי מחייב כדי להצדיק את עצמו.</t>
  </si>
  <si>
    <t>שווי משתמע לפעילות הרכב, מהמחיר</t>
  </si>
  <si>
    <t>שווי השוק בניכוי סכום שאר הרכיבים</t>
  </si>
  <si>
    <t>תזרים חופשי נדרש לצמיתות</t>
  </si>
  <si>
    <t>הנוסחה ההפוכה של היוון לצמיתות</t>
  </si>
  <si>
    <t>רווח תפעולי משתמע</t>
  </si>
  <si>
    <t>בהנחת מצב יציב שבו פחת והשקעות מתקזזים</t>
  </si>
  <si>
    <t>מול הרווח התפעולי בקצב 2026</t>
  </si>
  <si>
    <t>מחצית 2026 שהוכפלה</t>
  </si>
  <si>
    <t>כלומר המחיר מגלם שינוי של</t>
  </si>
  <si>
    <t>ו · רגישות מחיר המניה ל‑WACC ולצמיחה לצמיתות</t>
  </si>
  <si>
    <t>WACC  \  צמיחה</t>
  </si>
  <si>
    <t>מכפילי השוואה — המתחרות</t>
  </si>
  <si>
    <t>מיליוני ₪. נתוני המתחרות מדוחותיהן למחצית 2026, בקצב שנתי.</t>
  </si>
  <si>
    <t>שווי פעילות</t>
  </si>
  <si>
    <t>רווח נקי</t>
  </si>
  <si>
    <t>שולי תפעולי</t>
  </si>
  <si>
    <t>צמיחה</t>
  </si>
  <si>
    <t>מכפיל הכנסות</t>
  </si>
  <si>
    <t>מכפיל רווח</t>
  </si>
  <si>
    <t>שווי פעילות/רווח תפעולי</t>
  </si>
  <si>
    <t>חציון המתחרות</t>
  </si>
  <si>
    <t>שווי משתמע לדלק רכב לפי חציון המתחרות</t>
  </si>
  <si>
    <t>שווי הון לפי מכפיל הכנסות חציוני</t>
  </si>
  <si>
    <t>שווי הון לפי מכפיל רווח חציוני</t>
  </si>
  <si>
    <t>השיטה הישימה — מכפיל הכנסות</t>
  </si>
  <si>
    <t>התאמה — הכנסות ורידיס אינן ברות השוואה</t>
  </si>
  <si>
    <t>שווי הון משתמע</t>
  </si>
  <si>
    <t>כל המכפילים מחושבים. מה שחסר הוא ששת נתוני הבסיס לכל מתחרה — שווי שוק, חוב נטו, הכנסות, רווח תפעולי, רווח נקי וצמיחה — בגיליון הקלט, סעיף יב. ברגע שימולאו, כל השורות כאן מתמלאות מאליהן.</t>
  </si>
  <si>
    <t>ו · השוואה על בסיס פעילות הרכב בלבד</t>
  </si>
  <si>
    <t>הכנסות דלק רכב מאחדות את ורידיס; של קרסו — יבוא רכב טהור. בלי ההתאמה הזו ההשוואה שלמעלה אינה בת־תוקף.</t>
  </si>
  <si>
    <t>בסיס רכב בלבד</t>
  </si>
  <si>
    <t>שווי מיוחס</t>
  </si>
  <si>
    <t>שולי</t>
  </si>
  <si>
    <t>דלק רכב — רכב ושירות</t>
  </si>
  <si>
    <t>הפער</t>
  </si>
  <si>
    <t>מכפילי שווי פעילות (EV) דורשים את החוב הפיננסי נטו של המתחרות, שאינו מופיע בסיקורים. עד שיוזן — מוצגים מכפילי הון בלבד, והם רגישים לפערי מינוף בין החברות.</t>
  </si>
  <si>
    <t>בדיקות — מה שחייב להסתדר</t>
  </si>
  <si>
    <t>פתח את הגיליון הזה ראשון. כל שורה כאן היא תנאי שהמודל נופל בלעדיו.</t>
  </si>
  <si>
    <t>הבדיקה</t>
  </si>
  <si>
    <t>מחושב</t>
  </si>
  <si>
    <t>מדווח / צפוי</t>
  </si>
  <si>
    <t>תוצאה</t>
  </si>
  <si>
    <t>למה זה חשוב</t>
  </si>
  <si>
    <t>המפל מתיישב על ההפסד המדווח</t>
  </si>
  <si>
    <t>המפל כולו חסר משמעות אם הוא אינו נוחת על השורה המדווחת.</t>
  </si>
  <si>
    <t>המפל מתיישב גם על 2025</t>
  </si>
  <si>
    <t>אותה בדיקה לשנה הקודמת — מאמתת את סימן שורת המיעוט.</t>
  </si>
  <si>
    <t>סך רווח המגזרים = הרווח המגזרי המדווח</t>
  </si>
  <si>
    <t>אם המגזרים אינם מסתכמים לסך המדווח, אחד מהם שגוי.</t>
  </si>
  <si>
    <t>סכום הרכיבים ועוד השווי המשתמע = שווי השוק</t>
  </si>
  <si>
    <t>השווי המשתמע נגזר כשארית — הזהות הזו חייבת להתקיים.</t>
  </si>
  <si>
    <t>כיסוי הריבית מתחת ל‑1.0</t>
  </si>
  <si>
    <t>הממצא המרכזי של הדוח.</t>
  </si>
  <si>
    <t>כיסוי הריבית משחזר את 0.77x</t>
  </si>
  <si>
    <t>מאמת שהנוסחה מנכה את ההוצאות הבלתי מיוחסות. בלעדיהן מתקבל 0.80x.</t>
  </si>
  <si>
    <t>נקודת העוגן של כל גיליון הרגישות.</t>
  </si>
  <si>
    <t>המחיר יושב מעל תרחיש הדובי</t>
  </si>
  <si>
    <t>הטענה ״השוק מתמחר את התרחיש הגרוע״ עומדת או נופלת כאן.</t>
  </si>
  <si>
    <t>הבעלות האפקטיבית בהתפלה</t>
  </si>
  <si>
    <t>שרשור שתי שכבות — 50.07% כפול 50%.</t>
  </si>
  <si>
    <t>הבעלות האפקטיבית באנרגיה</t>
  </si>
  <si>
    <t>שרשור שתי שכבות — 50.07% כפול 20%.</t>
  </si>
  <si>
    <t>סיכום</t>
  </si>
  <si>
    <t>הערות מתודולוגיות</t>
  </si>
  <si>
    <t>סך הכנסות המגזרים עולה על ההכנסות המאוחדות בכ‑42 מ׳ ₪. זהו קיזוז בין־מגזרי שאינו מדווח בנפרד, ולכן נגזר כאן כהפרש.</t>
  </si>
  <si>
    <t>שלושה ערכי רווח ל‑2025</t>
  </si>
  <si>
    <t>רווחי הרכב, המים והאנרגיה ל‑2025 נגזרו משיעורי השינוי המדווחים ולא נלקחו כערכים מדווחים. מסומנים ככאלה בגיליון הקלט.</t>
  </si>
  <si>
    <t>השווי המשתמע לפעילות הרכב</t>
  </si>
  <si>
    <t>נגזר כשארית — שווי השוק בניכוי סכום הרכיבים הידועים. ככזה הוא סופג את מלוא שגיאת ההנחות על הנדל"ן ועל החוב.</t>
  </si>
  <si>
    <t>רצפת הרגישות המשולבת</t>
  </si>
  <si>
    <t>מחושבת מצירוף שלוש ההנחות הפסימיות יחד, ולא כסכום ההשפעות הבודדות — צירוף שמרני יותר.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</si>
</sst>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;[Red]\(#,##0\)"/>
    <numFmt numFmtId="165" formatCode="#,##0.0;[Red]\(#,##0.0\)"/>
    <numFmt numFmtId="166" formatCode="0.0%;[Red]\(0.0%\)"/>
    <numFmt numFmtId="167" formatCode="0.00&quot;x&quot;"/>
    <numFmt numFmtId="168" formatCode="#,##0&quot; אג׳&quot;"/>
    <numFmt numFmtId="169" formatCode="0.0&quot; שנים&quot;"/>
    <numFmt numFmtId="170" formatCode="0.0000"/>
    <numFmt numFmtId="171" formatCode="0.0&quot;x&quot;"/>
  </numFmts>
  <fonts count="30" x14ac:knownFonts="1">
    <font>
      <sz val="11"/>
      <color theme="1"/>
      <name val="Arial"/>
      <family val="2"/>
      <scheme val="minor"/>
    </font>
    <font>
      <b/>
      <sz val="16"/>
      <color rgb="FF0E1A18"/>
      <name val="Arial"/>
    </font>
    <font>
      <sz val="9.5"/>
      <color rgb="FF6E7C79"/>
      <name val="Arial"/>
    </font>
    <font>
      <b/>
      <sz val="10"/>
      <color rgb="FF0E1A18"/>
      <name val="Arial"/>
    </font>
    <font>
      <sz val="9.5"/>
      <color rgb="FF0E1A18"/>
      <name val="Arial"/>
    </font>
    <font>
      <sz val="10"/>
      <color rgb="FF0000CC"/>
      <name val="Arial"/>
    </font>
    <font>
      <sz val="10"/>
      <color rgb="FF0E1A18"/>
      <name val="Arial"/>
    </font>
    <font>
      <sz val="10"/>
      <color rgb="FF006633"/>
      <name val="Arial"/>
    </font>
    <font>
      <sz val="10"/>
      <color rgb="FF0E4F45"/>
      <name val="Arial"/>
    </font>
    <font>
      <b/>
      <sz val="10"/>
      <color rgb="FFB3341F"/>
      <name val="Arial"/>
    </font>
    <font>
      <sz val="9.5"/>
      <color rgb="FFB3341F"/>
      <name val="Arial"/>
    </font>
    <font>
      <b/>
      <sz val="11"/>
      <color rgb="FF0E4F45"/>
      <name val="Arial"/>
    </font>
    <font>
      <b/>
      <sz val="9.5"/>
      <color rgb="FF0E1A18"/>
      <name val="Arial"/>
    </font>
    <font>
      <sz val="9"/>
      <color rgb="FF6E7C79"/>
      <name val="Arial"/>
    </font>
    <font>
      <b/>
      <sz val="10"/>
      <color rgb="FF0000CC"/>
      <name val="Arial"/>
    </font>
    <font>
      <sz val="9"/>
      <color rgb="FFB3341F"/>
      <name val="Arial"/>
    </font>
    <font>
      <i/>
      <sz val="9"/>
      <color rgb="FF6E7C79"/>
      <name val="Arial"/>
    </font>
    <font>
      <sz val="9"/>
      <color rgb="FFA8752B"/>
      <name val="Arial"/>
    </font>
    <font>
      <b/>
      <sz val="9"/>
      <color rgb="FFB3341F"/>
      <name val="Arial"/>
    </font>
    <font>
      <sz val="10"/>
      <color rgb="FF6E7C79"/>
      <name val="Arial"/>
    </font>
    <font>
      <b/>
      <sz val="10"/>
      <color rgb="FF006633"/>
      <name val="Arial"/>
    </font>
    <font>
      <b/>
      <sz val="11"/>
      <color rgb="FFB3341F"/>
      <name val="Arial"/>
    </font>
    <font>
      <b/>
      <sz val="12"/>
      <color rgb="FFB3341F"/>
      <name val="Arial"/>
    </font>
    <font>
      <b/>
      <sz val="10"/>
      <color rgb="FF0E4F45"/>
      <name val="Arial"/>
    </font>
    <font>
      <sz val="9"/>
      <color rgb="FF006633"/>
      <name val="Arial"/>
    </font>
    <font>
      <i/>
      <sz val="10"/>
      <color rgb="FF0E1A18"/>
      <name val="Arial"/>
    </font>
    <font>
      <sz val="9.5"/>
      <color rgb="FFA8752B"/>
      <name val="Arial"/>
    </font>
    <font>
      <b/>
      <sz val="11"/>
      <color rgb="FF0E1A18"/>
      <name val="Arial"/>
    </font>
    <font>
      <b/>
      <sz val="11"/>
      <color rgb="FFA8752B"/>
      <name val="Arial"/>
    </font>
    <font>
      <b/>
      <sz val="10"/>
      <color rgb="FFA8752B"/>
      <name val="Arial"/>
    </font>
  </fonts>
  <fills count="5">
    <fill>
      <patternFill patternType="none"/>
    </fill>
    <fill>
      <patternFill patternType="gray125"/>
    </fill>
    <fill>
      <patternFill patternType="solid">
        <fgColor rgb="FFE6EAE8"/>
      </patternFill>
    </fill>
    <fill>
      <patternFill patternType="solid">
        <fgColor rgb="FFF7E9E5"/>
      </patternFill>
    </fill>
    <fill>
      <patternFill patternType="solid">
        <fgColor rgb="FFF5F7F6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0E1A18"/>
      </bottom>
      <diagonal/>
    </border>
    <border>
      <left/>
      <right/>
      <top/>
      <bottom style="thin">
        <color rgb="FFCBD3D0"/>
      </bottom>
      <diagonal/>
    </border>
    <border>
      <left style="thin">
        <color rgb="FFCBD3D0"/>
      </left>
      <right style="thin">
        <color rgb="FFCBD3D0"/>
      </right>
      <top style="thin">
        <color rgb="FFCBD3D0"/>
      </top>
      <bottom style="thin">
        <color rgb="FFCBD3D0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0" borderId="0" xfId="0" applyFont="1" applyAlignment="1">
      <alignment horizontal="right" vertical="center" readingOrder="2"/>
    </xf>
    <xf numFmtId="0" fontId="2" fillId="0" borderId="0" xfId="0" applyFont="1" applyAlignment="1">
      <alignment horizontal="right" vertical="center" readingOrder="2"/>
    </xf>
    <xf numFmtId="0" fontId="0" fillId="0" borderId="1" xfId="0" applyBorder="1"/>
    <xf numFmtId="0" fontId="3" fillId="0" borderId="0" xfId="0" applyFont="1" applyAlignment="1">
      <alignment horizontal="right" vertical="center" readingOrder="2"/>
    </xf>
    <xf numFmtId="0" fontId="4" fillId="0" borderId="0" xfId="0" applyFont="1" applyAlignment="1">
      <alignment horizontal="right" vertical="center" wrapText="1" readingOrder="2"/>
    </xf>
    <xf numFmtId="0" fontId="5" fillId="0" borderId="0" xfId="0" applyFont="1" applyAlignment="1">
      <alignment horizontal="right" vertical="center" readingOrder="2"/>
    </xf>
    <xf numFmtId="0" fontId="2" fillId="0" borderId="0" xfId="0" applyFont="1" applyAlignment="1">
      <alignment horizontal="right" vertical="center" wrapText="1" readingOrder="2"/>
    </xf>
    <xf numFmtId="0" fontId="6" fillId="0" borderId="0" xfId="0" applyFont="1" applyAlignment="1">
      <alignment horizontal="right" vertical="center" readingOrder="2"/>
    </xf>
    <xf numFmtId="0" fontId="7" fillId="0" borderId="0" xfId="0" applyFont="1" applyAlignment="1">
      <alignment horizontal="right" vertical="center" readingOrder="2"/>
    </xf>
    <xf numFmtId="0" fontId="8" fillId="0" borderId="0" xfId="0" applyFont="1" applyAlignment="1">
      <alignment horizontal="right" vertical="center" readingOrder="2"/>
    </xf>
    <xf numFmtId="0" fontId="9" fillId="0" borderId="0" xfId="0" applyFont="1" applyAlignment="1">
      <alignment horizontal="right" vertical="center" readingOrder="2"/>
    </xf>
    <xf numFmtId="0" fontId="10" fillId="0" borderId="0" xfId="0" applyFont="1" applyAlignment="1">
      <alignment horizontal="right" vertical="center" wrapText="1" readingOrder="2"/>
    </xf>
    <xf numFmtId="0" fontId="11" fillId="0" borderId="2" xfId="0" applyFont="1" applyBorder="1" applyAlignment="1">
      <alignment horizontal="right" vertical="center" readingOrder="2"/>
    </xf>
    <xf numFmtId="0" fontId="0" fillId="0" borderId="2" xfId="0" applyBorder="1"/>
    <xf numFmtId="0" fontId="12" fillId="2" borderId="3" xfId="0" applyFont="1" applyFill="1" applyBorder="1" applyAlignment="1">
      <alignment horizontal="center" vertical="center" wrapText="1" readingOrder="2"/>
    </xf>
    <xf numFmtId="164" fontId="5" fillId="0" borderId="3" xfId="0" applyNumberFormat="1" applyFont="1" applyBorder="1" applyAlignment="1">
      <alignment horizontal="right" vertical="center" readingOrder="2"/>
    </xf>
    <xf numFmtId="0" fontId="13" fillId="0" borderId="0" xfId="0" applyFont="1" applyAlignment="1">
      <alignment horizontal="right" vertical="center" readingOrder="2"/>
    </xf>
    <xf numFmtId="0" fontId="13" fillId="0" borderId="0" xfId="0" applyFont="1" applyAlignment="1">
      <alignment horizontal="center" vertical="center" readingOrder="2"/>
    </xf>
    <xf numFmtId="0" fontId="13" fillId="0" borderId="0" xfId="0" applyFont="1" applyAlignment="1">
      <alignment horizontal="right" vertical="center" wrapText="1" readingOrder="2"/>
    </xf>
    <xf numFmtId="164" fontId="14" fillId="3" borderId="3" xfId="0" applyNumberFormat="1" applyFont="1" applyFill="1" applyBorder="1" applyAlignment="1">
      <alignment horizontal="right" vertical="center" readingOrder="2"/>
    </xf>
    <xf numFmtId="0" fontId="15" fillId="0" borderId="0" xfId="0" applyFont="1" applyAlignment="1">
      <alignment horizontal="right" vertical="center" readingOrder="2"/>
    </xf>
    <xf numFmtId="0" fontId="15" fillId="0" borderId="0" xfId="0" applyFont="1" applyAlignment="1">
      <alignment horizontal="right" vertical="center" wrapText="1" readingOrder="2"/>
    </xf>
    <xf numFmtId="164" fontId="3" fillId="0" borderId="3" xfId="0" applyNumberFormat="1" applyFont="1" applyBorder="1" applyAlignment="1">
      <alignment horizontal="right" vertical="center" readingOrder="2"/>
    </xf>
    <xf numFmtId="10" fontId="5" fillId="0" borderId="3" xfId="0" applyNumberFormat="1" applyFont="1" applyBorder="1" applyAlignment="1">
      <alignment horizontal="right" vertical="center" readingOrder="2"/>
    </xf>
    <xf numFmtId="164" fontId="5" fillId="3" borderId="3" xfId="0" applyNumberFormat="1" applyFont="1" applyFill="1" applyBorder="1" applyAlignment="1">
      <alignment horizontal="right" vertical="center" readingOrder="2"/>
    </xf>
    <xf numFmtId="165" fontId="5" fillId="0" borderId="3" xfId="0" applyNumberFormat="1" applyFont="1" applyBorder="1" applyAlignment="1">
      <alignment horizontal="right" vertical="center" readingOrder="2"/>
    </xf>
    <xf numFmtId="166" fontId="5" fillId="0" borderId="3" xfId="0" applyNumberFormat="1" applyFont="1" applyBorder="1" applyAlignment="1">
      <alignment horizontal="right" vertical="center" readingOrder="2"/>
    </xf>
    <xf numFmtId="0" fontId="16" fillId="0" borderId="0" xfId="0" applyFont="1" applyAlignment="1">
      <alignment horizontal="right" vertical="center" readingOrder="2"/>
    </xf>
    <xf numFmtId="0" fontId="17" fillId="0" borderId="2" xfId="0" applyFont="1" applyBorder="1" applyAlignment="1">
      <alignment horizontal="right" vertical="center" readingOrder="2"/>
    </xf>
    <xf numFmtId="167" fontId="7" fillId="0" borderId="3" xfId="0" applyNumberFormat="1" applyFont="1" applyBorder="1" applyAlignment="1">
      <alignment horizontal="right" vertical="center" readingOrder="2"/>
    </xf>
    <xf numFmtId="167" fontId="5" fillId="0" borderId="3" xfId="0" applyNumberFormat="1" applyFont="1" applyBorder="1" applyAlignment="1">
      <alignment horizontal="right" vertical="center" readingOrder="2"/>
    </xf>
    <xf numFmtId="165" fontId="7" fillId="0" borderId="3" xfId="0" applyNumberFormat="1" applyFont="1" applyBorder="1" applyAlignment="1">
      <alignment horizontal="right" vertical="center" readingOrder="2"/>
    </xf>
    <xf numFmtId="166" fontId="7" fillId="0" borderId="3" xfId="0" applyNumberFormat="1" applyFont="1" applyBorder="1" applyAlignment="1">
      <alignment horizontal="right" vertical="center" readingOrder="2"/>
    </xf>
    <xf numFmtId="0" fontId="18" fillId="0" borderId="0" xfId="0" applyFont="1" applyAlignment="1">
      <alignment horizontal="right" vertical="center" readingOrder="2"/>
    </xf>
    <xf numFmtId="164" fontId="9" fillId="0" borderId="3" xfId="0" applyNumberFormat="1" applyFont="1" applyBorder="1" applyAlignment="1">
      <alignment horizontal="right" vertical="center" readingOrder="2"/>
    </xf>
    <xf numFmtId="2" fontId="5" fillId="0" borderId="3" xfId="0" applyNumberFormat="1" applyFont="1" applyBorder="1" applyAlignment="1">
      <alignment horizontal="right" vertical="center" readingOrder="2"/>
    </xf>
    <xf numFmtId="164" fontId="7" fillId="0" borderId="3" xfId="0" applyNumberFormat="1" applyFont="1" applyBorder="1" applyAlignment="1">
      <alignment horizontal="right" vertical="center" readingOrder="2"/>
    </xf>
    <xf numFmtId="166" fontId="6" fillId="0" borderId="3" xfId="0" applyNumberFormat="1" applyFont="1" applyBorder="1" applyAlignment="1">
      <alignment horizontal="right" vertical="center" readingOrder="2"/>
    </xf>
    <xf numFmtId="0" fontId="19" fillId="0" borderId="3" xfId="0" applyFont="1" applyBorder="1" applyAlignment="1">
      <alignment horizontal="center" vertical="center" readingOrder="2"/>
    </xf>
    <xf numFmtId="0" fontId="17" fillId="0" borderId="0" xfId="0" applyFont="1" applyAlignment="1">
      <alignment horizontal="right" vertical="center" wrapText="1" readingOrder="2"/>
    </xf>
    <xf numFmtId="0" fontId="3" fillId="4" borderId="0" xfId="0" applyFont="1" applyFill="1" applyAlignment="1">
      <alignment horizontal="right" vertical="center" readingOrder="2"/>
    </xf>
    <xf numFmtId="164" fontId="20" fillId="4" borderId="3" xfId="0" applyNumberFormat="1" applyFont="1" applyFill="1" applyBorder="1" applyAlignment="1">
      <alignment horizontal="right" vertical="center" readingOrder="2"/>
    </xf>
    <xf numFmtId="164" fontId="6" fillId="4" borderId="3" xfId="0" applyNumberFormat="1" applyFont="1" applyFill="1" applyBorder="1" applyAlignment="1">
      <alignment horizontal="right" vertical="center" readingOrder="2"/>
    </xf>
    <xf numFmtId="166" fontId="6" fillId="4" borderId="3" xfId="0" applyNumberFormat="1" applyFont="1" applyFill="1" applyBorder="1" applyAlignment="1">
      <alignment horizontal="right" vertical="center" readingOrder="2"/>
    </xf>
    <xf numFmtId="164" fontId="6" fillId="0" borderId="3" xfId="0" applyNumberFormat="1" applyFont="1" applyBorder="1" applyAlignment="1">
      <alignment horizontal="right" vertical="center" readingOrder="2"/>
    </xf>
    <xf numFmtId="164" fontId="3" fillId="4" borderId="3" xfId="0" applyNumberFormat="1" applyFont="1" applyFill="1" applyBorder="1" applyAlignment="1">
      <alignment horizontal="right" vertical="center" readingOrder="2"/>
    </xf>
    <xf numFmtId="0" fontId="3" fillId="3" borderId="0" xfId="0" applyFont="1" applyFill="1" applyAlignment="1">
      <alignment horizontal="right" vertical="center" readingOrder="2"/>
    </xf>
    <xf numFmtId="164" fontId="3" fillId="3" borderId="3" xfId="0" applyNumberFormat="1" applyFont="1" applyFill="1" applyBorder="1" applyAlignment="1">
      <alignment horizontal="right" vertical="center" readingOrder="2"/>
    </xf>
    <xf numFmtId="164" fontId="6" fillId="3" borderId="3" xfId="0" applyNumberFormat="1" applyFont="1" applyFill="1" applyBorder="1" applyAlignment="1">
      <alignment horizontal="right" vertical="center" readingOrder="2"/>
    </xf>
    <xf numFmtId="166" fontId="6" fillId="3" borderId="3" xfId="0" applyNumberFormat="1" applyFont="1" applyFill="1" applyBorder="1" applyAlignment="1">
      <alignment horizontal="right" vertical="center" readingOrder="2"/>
    </xf>
    <xf numFmtId="0" fontId="11" fillId="0" borderId="0" xfId="0" applyFont="1" applyAlignment="1">
      <alignment horizontal="right" vertical="center" readingOrder="2"/>
    </xf>
    <xf numFmtId="0" fontId="21" fillId="0" borderId="0" xfId="0" applyFont="1" applyAlignment="1">
      <alignment horizontal="right" vertical="center" readingOrder="2"/>
    </xf>
    <xf numFmtId="167" fontId="22" fillId="3" borderId="3" xfId="0" applyNumberFormat="1" applyFont="1" applyFill="1" applyBorder="1" applyAlignment="1">
      <alignment horizontal="right" vertical="center" readingOrder="2"/>
    </xf>
    <xf numFmtId="167" fontId="23" fillId="0" borderId="3" xfId="0" applyNumberFormat="1" applyFont="1" applyBorder="1" applyAlignment="1">
      <alignment horizontal="right" vertical="center" readingOrder="2"/>
    </xf>
    <xf numFmtId="167" fontId="6" fillId="0" borderId="3" xfId="0" applyNumberFormat="1" applyFont="1" applyBorder="1" applyAlignment="1">
      <alignment horizontal="right" vertical="center" readingOrder="2"/>
    </xf>
    <xf numFmtId="0" fontId="15" fillId="0" borderId="3" xfId="0" applyFont="1" applyBorder="1" applyAlignment="1">
      <alignment horizontal="right" vertical="center" readingOrder="2"/>
    </xf>
    <xf numFmtId="164" fontId="20" fillId="3" borderId="3" xfId="0" applyNumberFormat="1" applyFont="1" applyFill="1" applyBorder="1" applyAlignment="1">
      <alignment horizontal="right" vertical="center" readingOrder="2"/>
    </xf>
    <xf numFmtId="167" fontId="9" fillId="3" borderId="3" xfId="0" applyNumberFormat="1" applyFont="1" applyFill="1" applyBorder="1" applyAlignment="1">
      <alignment horizontal="right" vertical="center" readingOrder="2"/>
    </xf>
    <xf numFmtId="0" fontId="15" fillId="3" borderId="3" xfId="0" applyFont="1" applyFill="1" applyBorder="1" applyAlignment="1">
      <alignment horizontal="right" vertical="center" readingOrder="2"/>
    </xf>
    <xf numFmtId="0" fontId="23" fillId="0" borderId="0" xfId="0" applyFont="1" applyAlignment="1">
      <alignment horizontal="right" vertical="center" wrapText="1" readingOrder="2"/>
    </xf>
    <xf numFmtId="167" fontId="9" fillId="0" borderId="3" xfId="0" applyNumberFormat="1" applyFont="1" applyBorder="1" applyAlignment="1">
      <alignment horizontal="right" vertical="center" readingOrder="2"/>
    </xf>
    <xf numFmtId="0" fontId="6" fillId="0" borderId="0" xfId="0" applyFont="1" applyAlignment="1">
      <alignment horizontal="center" vertical="center" readingOrder="2"/>
    </xf>
    <xf numFmtId="10" fontId="7" fillId="0" borderId="3" xfId="0" applyNumberFormat="1" applyFont="1" applyBorder="1" applyAlignment="1">
      <alignment horizontal="right" vertical="center" readingOrder="2"/>
    </xf>
    <xf numFmtId="10" fontId="3" fillId="0" borderId="3" xfId="0" applyNumberFormat="1" applyFont="1" applyBorder="1" applyAlignment="1">
      <alignment horizontal="right" vertical="center" readingOrder="2"/>
    </xf>
    <xf numFmtId="165" fontId="3" fillId="4" borderId="3" xfId="0" applyNumberFormat="1" applyFont="1" applyFill="1" applyBorder="1" applyAlignment="1">
      <alignment horizontal="right" vertical="center" readingOrder="2"/>
    </xf>
    <xf numFmtId="166" fontId="3" fillId="4" borderId="3" xfId="0" applyNumberFormat="1" applyFont="1" applyFill="1" applyBorder="1" applyAlignment="1">
      <alignment horizontal="right" vertical="center" readingOrder="2"/>
    </xf>
    <xf numFmtId="165" fontId="6" fillId="0" borderId="3" xfId="0" applyNumberFormat="1" applyFont="1" applyBorder="1" applyAlignment="1">
      <alignment horizontal="right" vertical="center" readingOrder="2"/>
    </xf>
    <xf numFmtId="165" fontId="3" fillId="0" borderId="3" xfId="0" applyNumberFormat="1" applyFont="1" applyBorder="1" applyAlignment="1">
      <alignment horizontal="right" vertical="center" readingOrder="2"/>
    </xf>
    <xf numFmtId="165" fontId="3" fillId="3" borderId="3" xfId="0" applyNumberFormat="1" applyFont="1" applyFill="1" applyBorder="1" applyAlignment="1">
      <alignment horizontal="right" vertical="center" readingOrder="2"/>
    </xf>
    <xf numFmtId="0" fontId="24" fillId="0" borderId="0" xfId="0" applyFont="1" applyAlignment="1">
      <alignment horizontal="right" vertical="center" readingOrder="2"/>
    </xf>
    <xf numFmtId="166" fontId="9" fillId="0" borderId="3" xfId="0" applyNumberFormat="1" applyFont="1" applyBorder="1" applyAlignment="1">
      <alignment horizontal="right" vertical="center" readingOrder="2"/>
    </xf>
    <xf numFmtId="166" fontId="23" fillId="0" borderId="3" xfId="0" applyNumberFormat="1" applyFont="1" applyBorder="1" applyAlignment="1">
      <alignment horizontal="right" vertical="center" readingOrder="2"/>
    </xf>
    <xf numFmtId="0" fontId="20" fillId="0" borderId="0" xfId="0" applyFont="1" applyAlignment="1">
      <alignment horizontal="right" vertical="center" readingOrder="2"/>
    </xf>
    <xf numFmtId="0" fontId="25" fillId="0" borderId="0" xfId="0" applyFont="1" applyAlignment="1">
      <alignment horizontal="right" vertical="center" readingOrder="2"/>
    </xf>
    <xf numFmtId="164" fontId="20" fillId="0" borderId="3" xfId="0" applyNumberFormat="1" applyFont="1" applyBorder="1" applyAlignment="1">
      <alignment horizontal="right" vertical="center" readingOrder="2"/>
    </xf>
    <xf numFmtId="164" fontId="22" fillId="3" borderId="3" xfId="0" applyNumberFormat="1" applyFont="1" applyFill="1" applyBorder="1" applyAlignment="1">
      <alignment horizontal="right" vertical="center" readingOrder="2"/>
    </xf>
    <xf numFmtId="166" fontId="9" fillId="3" borderId="3" xfId="0" applyNumberFormat="1" applyFont="1" applyFill="1" applyBorder="1" applyAlignment="1">
      <alignment horizontal="right" vertical="center" readingOrder="2"/>
    </xf>
    <xf numFmtId="168" fontId="3" fillId="0" borderId="3" xfId="0" applyNumberFormat="1" applyFont="1" applyBorder="1" applyAlignment="1">
      <alignment horizontal="right" vertical="center" readingOrder="2"/>
    </xf>
    <xf numFmtId="168" fontId="6" fillId="0" borderId="3" xfId="0" applyNumberFormat="1" applyFont="1" applyBorder="1" applyAlignment="1">
      <alignment horizontal="right" vertical="center" readingOrder="2"/>
    </xf>
    <xf numFmtId="168" fontId="3" fillId="4" borderId="3" xfId="0" applyNumberFormat="1" applyFont="1" applyFill="1" applyBorder="1" applyAlignment="1">
      <alignment horizontal="right" vertical="center" readingOrder="2"/>
    </xf>
    <xf numFmtId="168" fontId="22" fillId="3" borderId="3" xfId="0" applyNumberFormat="1" applyFont="1" applyFill="1" applyBorder="1" applyAlignment="1">
      <alignment horizontal="right" vertical="center" readingOrder="2"/>
    </xf>
    <xf numFmtId="166" fontId="3" fillId="0" borderId="3" xfId="0" applyNumberFormat="1" applyFont="1" applyBorder="1" applyAlignment="1">
      <alignment horizontal="right" vertical="center" readingOrder="2"/>
    </xf>
    <xf numFmtId="0" fontId="9" fillId="0" borderId="0" xfId="0" applyFont="1" applyAlignment="1">
      <alignment horizontal="right" vertical="center" wrapText="1" readingOrder="2"/>
    </xf>
    <xf numFmtId="166" fontId="5" fillId="0" borderId="3" xfId="0" applyNumberFormat="1" applyFont="1" applyBorder="1" applyAlignment="1">
      <alignment horizontal="center" vertical="center" readingOrder="2"/>
    </xf>
    <xf numFmtId="166" fontId="14" fillId="0" borderId="3" xfId="0" applyNumberFormat="1" applyFont="1" applyBorder="1" applyAlignment="1">
      <alignment horizontal="center" vertical="center" readingOrder="2"/>
    </xf>
    <xf numFmtId="165" fontId="5" fillId="0" borderId="3" xfId="0" applyNumberFormat="1" applyFont="1" applyBorder="1" applyAlignment="1">
      <alignment horizontal="center" vertical="center" readingOrder="2"/>
    </xf>
    <xf numFmtId="165" fontId="14" fillId="0" borderId="3" xfId="0" applyNumberFormat="1" applyFont="1" applyBorder="1" applyAlignment="1">
      <alignment horizontal="center" vertical="center" readingOrder="2"/>
    </xf>
    <xf numFmtId="0" fontId="23" fillId="0" borderId="0" xfId="0" applyFont="1" applyAlignment="1">
      <alignment horizontal="right" vertical="center" readingOrder="2"/>
    </xf>
    <xf numFmtId="169" fontId="6" fillId="0" borderId="3" xfId="0" applyNumberFormat="1" applyFont="1" applyBorder="1" applyAlignment="1">
      <alignment horizontal="right" vertical="center" readingOrder="2"/>
    </xf>
    <xf numFmtId="169" fontId="3" fillId="3" borderId="3" xfId="0" applyNumberFormat="1" applyFont="1" applyFill="1" applyBorder="1" applyAlignment="1">
      <alignment horizontal="right" vertical="center" readingOrder="2"/>
    </xf>
    <xf numFmtId="1" fontId="6" fillId="0" borderId="3" xfId="0" applyNumberFormat="1" applyFont="1" applyBorder="1" applyAlignment="1">
      <alignment horizontal="center" vertical="center" readingOrder="2"/>
    </xf>
    <xf numFmtId="167" fontId="3" fillId="0" borderId="3" xfId="0" applyNumberFormat="1" applyFont="1" applyBorder="1" applyAlignment="1">
      <alignment horizontal="right" vertical="center" readingOrder="2"/>
    </xf>
    <xf numFmtId="2" fontId="7" fillId="0" borderId="3" xfId="0" applyNumberFormat="1" applyFont="1" applyBorder="1" applyAlignment="1">
      <alignment horizontal="right" vertical="center" readingOrder="2"/>
    </xf>
    <xf numFmtId="10" fontId="22" fillId="3" borderId="3" xfId="0" applyNumberFormat="1" applyFont="1" applyFill="1" applyBorder="1" applyAlignment="1">
      <alignment horizontal="right" vertical="center" readingOrder="2"/>
    </xf>
    <xf numFmtId="165" fontId="20" fillId="0" borderId="3" xfId="0" applyNumberFormat="1" applyFont="1" applyBorder="1" applyAlignment="1">
      <alignment horizontal="right" vertical="center" readingOrder="2"/>
    </xf>
    <xf numFmtId="165" fontId="9" fillId="3" borderId="3" xfId="0" applyNumberFormat="1" applyFont="1" applyFill="1" applyBorder="1" applyAlignment="1">
      <alignment horizontal="right" vertical="center" readingOrder="2"/>
    </xf>
    <xf numFmtId="1" fontId="6" fillId="0" borderId="3" xfId="0" applyNumberFormat="1" applyFont="1" applyBorder="1" applyAlignment="1">
      <alignment horizontal="right" vertical="center" readingOrder="2"/>
    </xf>
    <xf numFmtId="170" fontId="6" fillId="0" borderId="3" xfId="0" applyNumberFormat="1" applyFont="1" applyBorder="1" applyAlignment="1">
      <alignment horizontal="right" vertical="center" readingOrder="2"/>
    </xf>
    <xf numFmtId="0" fontId="22" fillId="0" borderId="0" xfId="0" applyFont="1" applyAlignment="1">
      <alignment horizontal="right" vertical="center" readingOrder="2"/>
    </xf>
    <xf numFmtId="165" fontId="22" fillId="3" borderId="3" xfId="0" applyNumberFormat="1" applyFont="1" applyFill="1" applyBorder="1" applyAlignment="1">
      <alignment horizontal="right" vertical="center" readingOrder="2"/>
    </xf>
    <xf numFmtId="168" fontId="20" fillId="3" borderId="3" xfId="0" applyNumberFormat="1" applyFont="1" applyFill="1" applyBorder="1" applyAlignment="1">
      <alignment horizontal="right" vertical="center" readingOrder="2"/>
    </xf>
    <xf numFmtId="168" fontId="7" fillId="0" borderId="3" xfId="0" applyNumberFormat="1" applyFont="1" applyBorder="1" applyAlignment="1">
      <alignment horizontal="right" vertical="center" readingOrder="2"/>
    </xf>
    <xf numFmtId="0" fontId="12" fillId="2" borderId="3" xfId="0" applyFont="1" applyFill="1" applyBorder="1" applyAlignment="1">
      <alignment horizontal="center" vertical="center" readingOrder="2"/>
    </xf>
    <xf numFmtId="166" fontId="12" fillId="2" borderId="3" xfId="0" applyNumberFormat="1" applyFont="1" applyFill="1" applyBorder="1" applyAlignment="1">
      <alignment horizontal="center" vertical="center" readingOrder="2"/>
    </xf>
    <xf numFmtId="0" fontId="20" fillId="4" borderId="0" xfId="0" applyFont="1" applyFill="1" applyAlignment="1">
      <alignment horizontal="right" vertical="center" readingOrder="2"/>
    </xf>
    <xf numFmtId="164" fontId="7" fillId="4" borderId="3" xfId="0" applyNumberFormat="1" applyFont="1" applyFill="1" applyBorder="1" applyAlignment="1">
      <alignment horizontal="right" vertical="center" readingOrder="2"/>
    </xf>
    <xf numFmtId="166" fontId="7" fillId="4" borderId="3" xfId="0" applyNumberFormat="1" applyFont="1" applyFill="1" applyBorder="1" applyAlignment="1">
      <alignment horizontal="right" vertical="center" readingOrder="2"/>
    </xf>
    <xf numFmtId="167" fontId="6" fillId="4" borderId="3" xfId="0" applyNumberFormat="1" applyFont="1" applyFill="1" applyBorder="1" applyAlignment="1">
      <alignment horizontal="right" vertical="center" readingOrder="2"/>
    </xf>
    <xf numFmtId="171" fontId="6" fillId="4" borderId="3" xfId="0" applyNumberFormat="1" applyFont="1" applyFill="1" applyBorder="1" applyAlignment="1">
      <alignment horizontal="right" vertical="center" readingOrder="2"/>
    </xf>
    <xf numFmtId="171" fontId="6" fillId="0" borderId="3" xfId="0" applyNumberFormat="1" applyFont="1" applyBorder="1" applyAlignment="1">
      <alignment horizontal="right" vertical="center" readingOrder="2"/>
    </xf>
    <xf numFmtId="167" fontId="3" fillId="4" borderId="3" xfId="0" applyNumberFormat="1" applyFont="1" applyFill="1" applyBorder="1" applyAlignment="1">
      <alignment horizontal="right" vertical="center" readingOrder="2"/>
    </xf>
    <xf numFmtId="171" fontId="3" fillId="4" borderId="3" xfId="0" applyNumberFormat="1" applyFont="1" applyFill="1" applyBorder="1" applyAlignment="1">
      <alignment horizontal="right" vertical="center" readingOrder="2"/>
    </xf>
    <xf numFmtId="168" fontId="3" fillId="3" borderId="3" xfId="0" applyNumberFormat="1" applyFont="1" applyFill="1" applyBorder="1" applyAlignment="1">
      <alignment horizontal="right" vertical="center" readingOrder="2"/>
    </xf>
    <xf numFmtId="0" fontId="26" fillId="0" borderId="0" xfId="0" applyFont="1" applyAlignment="1">
      <alignment horizontal="right" vertical="center" wrapText="1" readingOrder="2"/>
    </xf>
    <xf numFmtId="167" fontId="3" fillId="3" borderId="3" xfId="0" applyNumberFormat="1" applyFont="1" applyFill="1" applyBorder="1" applyAlignment="1">
      <alignment horizontal="right" vertical="center" readingOrder="2"/>
    </xf>
    <xf numFmtId="0" fontId="6" fillId="0" borderId="0" xfId="0" applyFont="1" applyAlignment="1">
      <alignment horizontal="right" vertical="center" wrapText="1" readingOrder="2"/>
    </xf>
    <xf numFmtId="0" fontId="3" fillId="0" borderId="3" xfId="0" applyFont="1" applyBorder="1" applyAlignment="1">
      <alignment horizontal="center" vertical="center" readingOrder="2"/>
    </xf>
    <xf numFmtId="0" fontId="27" fillId="0" borderId="3" xfId="0" applyFont="1" applyBorder="1" applyAlignment="1">
      <alignment horizontal="center" vertical="center" readingOrder="2"/>
    </xf>
    <xf numFmtId="0" fontId="28" fillId="0" borderId="0" xfId="0" applyFont="1" applyAlignment="1">
      <alignment horizontal="right" vertical="center" readingOrder="2"/>
    </xf>
    <xf numFmtId="0" fontId="29" fillId="0" borderId="0" xfId="0" applyFont="1" applyAlignment="1">
      <alignment horizontal="right" vertical="center" readingOrder="2"/>
    </xf>
    <xf numFmtId="0" fontId="15" fillId="0" borderId="0" xfId="0" applyFont="1" applyAlignment="1">
      <alignment horizontal="right" vertical="center" wrapText="1" readingOrder="2"/>
    </xf>
    <xf numFmtId="0" fontId="0" fillId="0" borderId="0" xfId="0"/>
    <xf numFmtId="0" fontId="13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1"/>
  <sheetViews>
    <sheetView showGridLines="0" rightToLeft="1" tabSelected="1" workbookViewId="0">
      <pane ySplit="3" topLeftCell="A4" activePane="bottomLeft" state="frozen"/>
      <selection pane="bottomLeft"/>
    </sheetView>
  </sheetViews>
  <sheetFormatPr defaultRowHeight="14" x14ac:dyDescent="0.3"/>
  <cols>
    <col min="1" max="1" width="3" customWidth="1"/>
    <col min="2" max="2" width="30" customWidth="1"/>
    <col min="3" max="3" width="78" customWidth="1"/>
  </cols>
  <sheetData>
    <row r="1" spans="1:6" ht="24" customHeight="1" x14ac:dyDescent="0.3">
      <c r="A1" s="1" t="s">
        <v>0</v>
      </c>
    </row>
    <row r="2" spans="1:6" ht="16" customHeight="1" x14ac:dyDescent="0.3">
      <c r="A2" s="2" t="s">
        <v>1</v>
      </c>
    </row>
    <row r="3" spans="1:6" x14ac:dyDescent="0.3">
      <c r="A3" s="3"/>
      <c r="B3" s="3"/>
      <c r="C3" s="3"/>
      <c r="D3" s="3"/>
      <c r="E3" s="3"/>
      <c r="F3" s="3"/>
    </row>
    <row r="6" spans="1:6" ht="30" customHeight="1" x14ac:dyDescent="0.3">
      <c r="B6" s="4" t="s">
        <v>2</v>
      </c>
      <c r="C6" s="5" t="s">
        <v>3</v>
      </c>
    </row>
    <row r="8" spans="1:6" ht="30" customHeight="1" x14ac:dyDescent="0.3">
      <c r="B8" s="4" t="s">
        <v>4</v>
      </c>
      <c r="C8" s="5" t="s">
        <v>5</v>
      </c>
    </row>
    <row r="10" spans="1:6" x14ac:dyDescent="0.3">
      <c r="B10" s="4" t="s">
        <v>6</v>
      </c>
    </row>
    <row r="11" spans="1:6" ht="16" customHeight="1" x14ac:dyDescent="0.3">
      <c r="B11" s="6" t="s">
        <v>7</v>
      </c>
      <c r="C11" s="7" t="s">
        <v>8</v>
      </c>
    </row>
    <row r="12" spans="1:6" ht="16" customHeight="1" x14ac:dyDescent="0.3">
      <c r="B12" s="8" t="s">
        <v>9</v>
      </c>
      <c r="C12" s="7" t="s">
        <v>10</v>
      </c>
    </row>
    <row r="13" spans="1:6" ht="16" customHeight="1" x14ac:dyDescent="0.3">
      <c r="B13" s="9" t="s">
        <v>11</v>
      </c>
      <c r="C13" s="7" t="s">
        <v>12</v>
      </c>
    </row>
    <row r="15" spans="1:6" ht="30" customHeight="1" x14ac:dyDescent="0.3">
      <c r="B15" s="4" t="s">
        <v>13</v>
      </c>
      <c r="C15" s="5" t="s">
        <v>14</v>
      </c>
    </row>
    <row r="17" spans="2:3" ht="30" customHeight="1" x14ac:dyDescent="0.3">
      <c r="B17" s="4" t="s">
        <v>15</v>
      </c>
      <c r="C17" s="5" t="s">
        <v>16</v>
      </c>
    </row>
    <row r="19" spans="2:3" x14ac:dyDescent="0.3">
      <c r="B19" s="4" t="s">
        <v>17</v>
      </c>
    </row>
    <row r="20" spans="2:3" ht="16" customHeight="1" x14ac:dyDescent="0.3">
      <c r="B20" s="10" t="s">
        <v>18</v>
      </c>
      <c r="C20" s="7" t="s">
        <v>19</v>
      </c>
    </row>
    <row r="21" spans="2:3" ht="16" customHeight="1" x14ac:dyDescent="0.3">
      <c r="B21" s="10" t="s">
        <v>20</v>
      </c>
      <c r="C21" s="7" t="s">
        <v>21</v>
      </c>
    </row>
    <row r="22" spans="2:3" ht="16" customHeight="1" x14ac:dyDescent="0.3">
      <c r="B22" s="10" t="s">
        <v>22</v>
      </c>
      <c r="C22" s="7" t="s">
        <v>23</v>
      </c>
    </row>
    <row r="23" spans="2:3" ht="16" customHeight="1" x14ac:dyDescent="0.3">
      <c r="B23" s="10" t="s">
        <v>24</v>
      </c>
      <c r="C23" s="7" t="s">
        <v>25</v>
      </c>
    </row>
    <row r="24" spans="2:3" ht="16" customHeight="1" x14ac:dyDescent="0.3">
      <c r="B24" s="10" t="s">
        <v>26</v>
      </c>
      <c r="C24" s="7" t="s">
        <v>27</v>
      </c>
    </row>
    <row r="25" spans="2:3" ht="16" customHeight="1" x14ac:dyDescent="0.3">
      <c r="B25" s="10" t="s">
        <v>28</v>
      </c>
      <c r="C25" s="7" t="s">
        <v>29</v>
      </c>
    </row>
    <row r="26" spans="2:3" ht="16" customHeight="1" x14ac:dyDescent="0.3">
      <c r="B26" s="10" t="s">
        <v>30</v>
      </c>
      <c r="C26" s="7" t="s">
        <v>31</v>
      </c>
    </row>
    <row r="27" spans="2:3" ht="16" customHeight="1" x14ac:dyDescent="0.3">
      <c r="B27" s="10" t="s">
        <v>32</v>
      </c>
      <c r="C27" s="7" t="s">
        <v>33</v>
      </c>
    </row>
    <row r="28" spans="2:3" ht="16" customHeight="1" x14ac:dyDescent="0.3">
      <c r="B28" s="10" t="s">
        <v>34</v>
      </c>
      <c r="C28" s="7" t="s">
        <v>35</v>
      </c>
    </row>
    <row r="31" spans="2:3" ht="30" customHeight="1" x14ac:dyDescent="0.3">
      <c r="B31" s="11" t="s">
        <v>36</v>
      </c>
      <c r="C31" s="12" t="s">
        <v>37</v>
      </c>
    </row>
  </sheetData>
  <pageMargins left="0.75" right="0.75" top="1" bottom="1" header="0.5" footer="0.5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14"/>
  <sheetViews>
    <sheetView showGridLines="0" rightToLeft="1" workbookViewId="0">
      <pane ySplit="3" topLeftCell="A4" activePane="bottomLeft" state="frozen"/>
      <selection pane="bottomLeft"/>
    </sheetView>
  </sheetViews>
  <sheetFormatPr defaultRowHeight="14" x14ac:dyDescent="0.3"/>
  <cols>
    <col min="1" max="1" width="38" customWidth="1"/>
    <col min="2" max="3" width="15" customWidth="1"/>
    <col min="4" max="4" width="26" customWidth="1"/>
    <col min="5" max="5" width="11" customWidth="1"/>
    <col min="6" max="6" width="40" customWidth="1"/>
    <col min="7" max="7" width="17" customWidth="1"/>
    <col min="8" max="8" width="16" customWidth="1"/>
  </cols>
  <sheetData>
    <row r="1" spans="1:6" ht="24" customHeight="1" x14ac:dyDescent="0.3">
      <c r="A1" s="1" t="s">
        <v>38</v>
      </c>
    </row>
    <row r="2" spans="1:6" ht="16" customHeight="1" x14ac:dyDescent="0.3">
      <c r="A2" s="2" t="s">
        <v>39</v>
      </c>
    </row>
    <row r="3" spans="1:6" x14ac:dyDescent="0.3">
      <c r="A3" s="3"/>
      <c r="B3" s="3"/>
      <c r="C3" s="3"/>
      <c r="D3" s="3"/>
      <c r="E3" s="3"/>
      <c r="F3" s="3"/>
    </row>
    <row r="5" spans="1:6" x14ac:dyDescent="0.3">
      <c r="A5" s="13" t="s">
        <v>40</v>
      </c>
      <c r="B5" s="14"/>
      <c r="C5" s="14"/>
      <c r="D5" s="14"/>
      <c r="E5" s="14"/>
      <c r="F5" s="14"/>
    </row>
    <row r="6" spans="1:6" ht="30" customHeight="1" x14ac:dyDescent="0.3">
      <c r="A6" s="15" t="s">
        <v>41</v>
      </c>
      <c r="B6" s="15" t="s">
        <v>42</v>
      </c>
      <c r="C6" s="15" t="s">
        <v>43</v>
      </c>
      <c r="D6" s="15" t="s">
        <v>44</v>
      </c>
      <c r="E6" s="15" t="s">
        <v>45</v>
      </c>
      <c r="F6" s="15" t="s">
        <v>46</v>
      </c>
    </row>
    <row r="7" spans="1:6" x14ac:dyDescent="0.3">
      <c r="A7" s="8" t="s">
        <v>47</v>
      </c>
      <c r="B7" s="16">
        <v>316725</v>
      </c>
      <c r="C7" s="16">
        <v>317852</v>
      </c>
      <c r="D7" s="17" t="s">
        <v>48</v>
      </c>
      <c r="E7" s="18">
        <v>1</v>
      </c>
    </row>
    <row r="8" spans="1:6" x14ac:dyDescent="0.3">
      <c r="A8" s="8" t="s">
        <v>49</v>
      </c>
      <c r="B8" s="16">
        <v>-5929</v>
      </c>
      <c r="C8" s="16">
        <v>-8734</v>
      </c>
      <c r="D8" s="17" t="s">
        <v>50</v>
      </c>
      <c r="E8" s="18">
        <v>1</v>
      </c>
    </row>
    <row r="9" spans="1:6" x14ac:dyDescent="0.3">
      <c r="A9" s="8" t="s">
        <v>51</v>
      </c>
      <c r="B9" s="16">
        <v>-271256</v>
      </c>
      <c r="C9" s="16">
        <v>-172586</v>
      </c>
      <c r="D9" s="17" t="s">
        <v>50</v>
      </c>
      <c r="E9" s="18">
        <v>1</v>
      </c>
    </row>
    <row r="10" spans="1:6" x14ac:dyDescent="0.3">
      <c r="A10" s="8" t="s">
        <v>52</v>
      </c>
      <c r="B10" s="16">
        <v>-52167</v>
      </c>
      <c r="C10" s="16">
        <v>-44594</v>
      </c>
      <c r="D10" s="17" t="s">
        <v>50</v>
      </c>
      <c r="E10" s="18">
        <v>1</v>
      </c>
    </row>
    <row r="11" spans="1:6" ht="23" x14ac:dyDescent="0.3">
      <c r="A11" s="8" t="s">
        <v>53</v>
      </c>
      <c r="B11" s="16">
        <v>-65778</v>
      </c>
      <c r="C11" s="16">
        <v>8145</v>
      </c>
      <c r="D11" s="17" t="s">
        <v>50</v>
      </c>
      <c r="E11" s="18">
        <v>1</v>
      </c>
      <c r="F11" s="19" t="s">
        <v>54</v>
      </c>
    </row>
    <row r="12" spans="1:6" x14ac:dyDescent="0.3">
      <c r="A12" s="8" t="s">
        <v>55</v>
      </c>
      <c r="B12" s="16">
        <v>3262000</v>
      </c>
      <c r="D12" s="17" t="s">
        <v>50</v>
      </c>
      <c r="E12" s="18">
        <v>1</v>
      </c>
    </row>
    <row r="13" spans="1:6" x14ac:dyDescent="0.3">
      <c r="A13" s="8" t="s">
        <v>56</v>
      </c>
      <c r="B13" s="16">
        <v>4589000</v>
      </c>
      <c r="D13" s="17" t="s">
        <v>50</v>
      </c>
      <c r="E13" s="18">
        <v>1</v>
      </c>
    </row>
    <row r="15" spans="1:6" x14ac:dyDescent="0.3">
      <c r="A15" s="13" t="s">
        <v>57</v>
      </c>
      <c r="B15" s="14"/>
      <c r="C15" s="14"/>
      <c r="D15" s="14"/>
      <c r="E15" s="14"/>
      <c r="F15" s="14"/>
    </row>
    <row r="16" spans="1:6" ht="30" customHeight="1" x14ac:dyDescent="0.3">
      <c r="A16" s="15" t="s">
        <v>58</v>
      </c>
      <c r="B16" s="15" t="s">
        <v>59</v>
      </c>
      <c r="D16" s="15" t="s">
        <v>44</v>
      </c>
      <c r="E16" s="15" t="s">
        <v>45</v>
      </c>
      <c r="F16" s="15" t="s">
        <v>46</v>
      </c>
    </row>
    <row r="17" spans="1:8" x14ac:dyDescent="0.3">
      <c r="A17" s="8" t="s">
        <v>60</v>
      </c>
      <c r="B17" s="16">
        <v>101000</v>
      </c>
      <c r="D17" s="17" t="s">
        <v>61</v>
      </c>
      <c r="E17" s="18">
        <v>1</v>
      </c>
      <c r="F17" s="19" t="s">
        <v>62</v>
      </c>
    </row>
    <row r="18" spans="1:8" x14ac:dyDescent="0.3">
      <c r="A18" s="8" t="s">
        <v>63</v>
      </c>
      <c r="B18" s="16">
        <v>109500</v>
      </c>
      <c r="D18" s="17" t="s">
        <v>64</v>
      </c>
      <c r="E18" s="18">
        <v>1</v>
      </c>
    </row>
    <row r="19" spans="1:8" ht="28" customHeight="1" x14ac:dyDescent="0.3">
      <c r="A19" s="11" t="s">
        <v>65</v>
      </c>
      <c r="B19" s="20">
        <v>101000</v>
      </c>
      <c r="D19" s="21" t="s">
        <v>66</v>
      </c>
      <c r="E19" s="18" t="s">
        <v>67</v>
      </c>
      <c r="F19" s="22" t="s">
        <v>68</v>
      </c>
    </row>
    <row r="21" spans="1:8" x14ac:dyDescent="0.3">
      <c r="A21" s="13" t="s">
        <v>69</v>
      </c>
      <c r="B21" s="14"/>
      <c r="C21" s="14"/>
      <c r="D21" s="14"/>
      <c r="E21" s="14"/>
      <c r="F21" s="14"/>
    </row>
    <row r="22" spans="1:8" ht="30" customHeight="1" x14ac:dyDescent="0.3">
      <c r="A22" s="15" t="s">
        <v>70</v>
      </c>
      <c r="B22" s="15" t="s">
        <v>59</v>
      </c>
      <c r="D22" s="15" t="s">
        <v>71</v>
      </c>
      <c r="E22" s="15" t="s">
        <v>45</v>
      </c>
      <c r="F22" s="15" t="s">
        <v>46</v>
      </c>
      <c r="G22" s="15" t="s">
        <v>72</v>
      </c>
      <c r="H22" s="15" t="s">
        <v>73</v>
      </c>
    </row>
    <row r="23" spans="1:8" x14ac:dyDescent="0.3">
      <c r="A23" s="8" t="s">
        <v>74</v>
      </c>
      <c r="B23" s="23">
        <f>G23*H23</f>
        <v>3658977.4068000005</v>
      </c>
      <c r="D23" s="17" t="s">
        <v>75</v>
      </c>
      <c r="E23" s="18">
        <v>1</v>
      </c>
      <c r="F23" s="19" t="s">
        <v>76</v>
      </c>
      <c r="G23" s="16">
        <v>7307724</v>
      </c>
      <c r="H23" s="24">
        <v>0.50070000000000003</v>
      </c>
    </row>
    <row r="24" spans="1:8" x14ac:dyDescent="0.3">
      <c r="A24" s="8" t="s">
        <v>77</v>
      </c>
      <c r="B24" s="25">
        <v>600000</v>
      </c>
      <c r="D24" s="17" t="s">
        <v>78</v>
      </c>
      <c r="E24" s="18" t="s">
        <v>67</v>
      </c>
      <c r="F24" s="19" t="s">
        <v>79</v>
      </c>
    </row>
    <row r="25" spans="1:8" x14ac:dyDescent="0.3">
      <c r="A25" s="8" t="s">
        <v>80</v>
      </c>
      <c r="B25" s="16">
        <v>39000</v>
      </c>
      <c r="D25" s="17" t="s">
        <v>81</v>
      </c>
      <c r="E25" s="18">
        <v>1</v>
      </c>
    </row>
    <row r="26" spans="1:8" x14ac:dyDescent="0.3">
      <c r="A26" s="8" t="s">
        <v>82</v>
      </c>
      <c r="B26" s="16">
        <v>-3388595</v>
      </c>
      <c r="D26" s="17" t="s">
        <v>83</v>
      </c>
      <c r="E26" s="18">
        <v>1</v>
      </c>
    </row>
    <row r="27" spans="1:8" x14ac:dyDescent="0.3">
      <c r="A27" s="8" t="s">
        <v>84</v>
      </c>
      <c r="B27" s="16">
        <v>1712374</v>
      </c>
      <c r="D27" s="17" t="s">
        <v>85</v>
      </c>
      <c r="E27" s="18">
        <v>1</v>
      </c>
    </row>
    <row r="28" spans="1:8" x14ac:dyDescent="0.3">
      <c r="A28" s="8" t="s">
        <v>86</v>
      </c>
      <c r="B28" s="16">
        <v>96990</v>
      </c>
      <c r="D28" s="17" t="s">
        <v>87</v>
      </c>
      <c r="E28" s="18">
        <v>1</v>
      </c>
    </row>
    <row r="30" spans="1:8" x14ac:dyDescent="0.3">
      <c r="A30" s="13" t="s">
        <v>88</v>
      </c>
      <c r="B30" s="14"/>
      <c r="C30" s="14"/>
      <c r="D30" s="14"/>
      <c r="E30" s="14"/>
      <c r="F30" s="14"/>
    </row>
    <row r="31" spans="1:8" ht="30" customHeight="1" x14ac:dyDescent="0.3">
      <c r="A31" s="15" t="s">
        <v>89</v>
      </c>
      <c r="B31" s="15" t="s">
        <v>90</v>
      </c>
      <c r="C31" s="15" t="s">
        <v>91</v>
      </c>
      <c r="D31" s="15" t="s">
        <v>92</v>
      </c>
      <c r="E31" s="15" t="s">
        <v>45</v>
      </c>
      <c r="F31" s="15" t="s">
        <v>44</v>
      </c>
      <c r="G31" s="15" t="s">
        <v>93</v>
      </c>
      <c r="H31" s="15" t="s">
        <v>94</v>
      </c>
    </row>
    <row r="32" spans="1:8" x14ac:dyDescent="0.3">
      <c r="A32" s="8" t="s">
        <v>95</v>
      </c>
      <c r="B32" s="26">
        <v>1690</v>
      </c>
      <c r="C32" s="26">
        <v>70.8</v>
      </c>
      <c r="D32" s="26">
        <v>191.4</v>
      </c>
      <c r="E32" s="18">
        <v>1</v>
      </c>
      <c r="F32" s="17" t="s">
        <v>96</v>
      </c>
      <c r="G32" s="24">
        <v>1</v>
      </c>
      <c r="H32" s="27">
        <v>1</v>
      </c>
    </row>
    <row r="33" spans="1:8" x14ac:dyDescent="0.3">
      <c r="A33" s="8" t="s">
        <v>97</v>
      </c>
      <c r="B33" s="26">
        <v>100.9</v>
      </c>
      <c r="C33" s="26">
        <v>16.100000000000001</v>
      </c>
      <c r="D33" s="26">
        <v>33.1</v>
      </c>
      <c r="E33" s="18">
        <v>1</v>
      </c>
      <c r="F33" s="17" t="s">
        <v>48</v>
      </c>
      <c r="G33" s="24">
        <v>1</v>
      </c>
      <c r="H33" s="27">
        <v>1</v>
      </c>
    </row>
    <row r="34" spans="1:8" x14ac:dyDescent="0.3">
      <c r="A34" s="8" t="s">
        <v>98</v>
      </c>
      <c r="B34" s="26">
        <v>236.5</v>
      </c>
      <c r="C34" s="26">
        <v>121.4</v>
      </c>
      <c r="D34" s="26">
        <v>11.9</v>
      </c>
      <c r="E34" s="18">
        <v>1</v>
      </c>
      <c r="F34" s="17" t="s">
        <v>48</v>
      </c>
      <c r="G34" s="24">
        <v>1</v>
      </c>
      <c r="H34" s="27">
        <v>1</v>
      </c>
    </row>
    <row r="35" spans="1:8" x14ac:dyDescent="0.3">
      <c r="A35" s="8" t="s">
        <v>99</v>
      </c>
      <c r="B35" s="26">
        <v>558.70000000000005</v>
      </c>
      <c r="C35" s="26">
        <v>69.7</v>
      </c>
      <c r="D35" s="26">
        <v>7.2</v>
      </c>
      <c r="E35" s="18">
        <v>1</v>
      </c>
      <c r="F35" s="17" t="s">
        <v>48</v>
      </c>
      <c r="G35" s="24">
        <v>0.50070000000000003</v>
      </c>
      <c r="H35" s="27">
        <v>1</v>
      </c>
    </row>
    <row r="36" spans="1:8" x14ac:dyDescent="0.3">
      <c r="A36" s="8" t="s">
        <v>100</v>
      </c>
      <c r="B36" s="26">
        <v>630</v>
      </c>
      <c r="C36" s="26">
        <v>15</v>
      </c>
      <c r="D36" s="26">
        <v>50</v>
      </c>
      <c r="E36" s="18">
        <v>1</v>
      </c>
      <c r="F36" s="17" t="s">
        <v>48</v>
      </c>
      <c r="G36" s="24">
        <v>0.50070000000000003</v>
      </c>
      <c r="H36" s="27">
        <v>1</v>
      </c>
    </row>
    <row r="37" spans="1:8" x14ac:dyDescent="0.3">
      <c r="A37" s="8" t="s">
        <v>101</v>
      </c>
      <c r="B37" s="26">
        <v>57.2</v>
      </c>
      <c r="C37" s="26">
        <v>15.5</v>
      </c>
      <c r="D37" s="26">
        <v>15.9</v>
      </c>
      <c r="E37" s="18">
        <v>1</v>
      </c>
      <c r="F37" s="17" t="s">
        <v>96</v>
      </c>
      <c r="G37" s="24">
        <v>0.50070000000000003</v>
      </c>
      <c r="H37" s="27">
        <v>0.5</v>
      </c>
    </row>
    <row r="38" spans="1:8" x14ac:dyDescent="0.3">
      <c r="A38" s="8" t="s">
        <v>102</v>
      </c>
      <c r="B38" s="26">
        <v>30.8</v>
      </c>
      <c r="C38" s="26">
        <v>8.3000000000000007</v>
      </c>
      <c r="D38" s="26">
        <v>7.5</v>
      </c>
      <c r="E38" s="18">
        <v>1</v>
      </c>
      <c r="F38" s="17" t="s">
        <v>96</v>
      </c>
      <c r="G38" s="24">
        <v>0.50070000000000003</v>
      </c>
      <c r="H38" s="27">
        <v>0.2</v>
      </c>
    </row>
    <row r="39" spans="1:8" x14ac:dyDescent="0.3">
      <c r="A39" s="28" t="s">
        <v>103</v>
      </c>
    </row>
    <row r="42" spans="1:8" x14ac:dyDescent="0.3">
      <c r="A42" s="13" t="s">
        <v>104</v>
      </c>
      <c r="B42" s="14"/>
      <c r="C42" s="14"/>
      <c r="D42" s="14"/>
      <c r="E42" s="14"/>
      <c r="F42" s="29" t="s">
        <v>105</v>
      </c>
    </row>
    <row r="43" spans="1:8" ht="30" customHeight="1" x14ac:dyDescent="0.3">
      <c r="A43" s="15" t="s">
        <v>106</v>
      </c>
      <c r="B43" s="15" t="s">
        <v>107</v>
      </c>
      <c r="C43" s="15" t="s">
        <v>108</v>
      </c>
      <c r="D43" s="15" t="s">
        <v>109</v>
      </c>
    </row>
    <row r="44" spans="1:8" x14ac:dyDescent="0.3">
      <c r="A44" s="8" t="s">
        <v>110</v>
      </c>
      <c r="B44" s="30">
        <f>'כיסוי ריבית'!B14</f>
        <v>0.77342436664995429</v>
      </c>
      <c r="C44" s="31">
        <v>1.75</v>
      </c>
      <c r="D44" s="31">
        <v>2.2200000000000002</v>
      </c>
    </row>
    <row r="45" spans="1:8" x14ac:dyDescent="0.3">
      <c r="A45" s="8" t="s">
        <v>111</v>
      </c>
      <c r="B45" s="32">
        <f>מגזרים!C6</f>
        <v>70.8</v>
      </c>
      <c r="C45" s="26">
        <v>476.1</v>
      </c>
      <c r="D45" s="8"/>
    </row>
    <row r="46" spans="1:8" x14ac:dyDescent="0.3">
      <c r="A46" s="8" t="s">
        <v>112</v>
      </c>
      <c r="B46" s="33">
        <f>מגזרים!E6</f>
        <v>4.189349112426035E-2</v>
      </c>
      <c r="C46" s="27">
        <v>0.12</v>
      </c>
      <c r="D46" s="27">
        <v>9.5000000000000001E-2</v>
      </c>
    </row>
    <row r="48" spans="1:8" x14ac:dyDescent="0.3">
      <c r="A48" s="13" t="s">
        <v>113</v>
      </c>
      <c r="B48" s="14"/>
      <c r="C48" s="14"/>
      <c r="D48" s="14"/>
      <c r="E48" s="14"/>
      <c r="F48" s="14"/>
    </row>
    <row r="49" spans="1:6" ht="30" customHeight="1" x14ac:dyDescent="0.3">
      <c r="A49" s="15" t="s">
        <v>114</v>
      </c>
      <c r="B49" s="15" t="s">
        <v>15</v>
      </c>
      <c r="C49" s="15" t="s">
        <v>115</v>
      </c>
      <c r="D49" s="15" t="s">
        <v>46</v>
      </c>
    </row>
    <row r="50" spans="1:6" x14ac:dyDescent="0.3">
      <c r="A50" s="8" t="s">
        <v>116</v>
      </c>
      <c r="B50" s="16">
        <v>18592</v>
      </c>
      <c r="C50" s="26">
        <v>406.1</v>
      </c>
      <c r="D50" s="17" t="s">
        <v>117</v>
      </c>
    </row>
    <row r="51" spans="1:6" x14ac:dyDescent="0.3">
      <c r="A51" s="8" t="s">
        <v>43</v>
      </c>
      <c r="B51" s="16">
        <v>11000</v>
      </c>
      <c r="C51" s="26">
        <v>192.3</v>
      </c>
      <c r="D51" s="17" t="s">
        <v>118</v>
      </c>
    </row>
    <row r="52" spans="1:6" x14ac:dyDescent="0.3">
      <c r="A52" s="8" t="s">
        <v>42</v>
      </c>
      <c r="B52" s="16">
        <v>4300</v>
      </c>
      <c r="C52" s="26">
        <v>70.8</v>
      </c>
      <c r="D52" s="17" t="s">
        <v>118</v>
      </c>
    </row>
    <row r="55" spans="1:6" x14ac:dyDescent="0.3">
      <c r="A55" s="13" t="s">
        <v>119</v>
      </c>
      <c r="B55" s="14"/>
      <c r="C55" s="14"/>
      <c r="D55" s="14"/>
      <c r="E55" s="14"/>
      <c r="F55" s="14"/>
    </row>
    <row r="56" spans="1:6" ht="30" customHeight="1" x14ac:dyDescent="0.3">
      <c r="A56" s="15" t="s">
        <v>120</v>
      </c>
      <c r="B56" s="15" t="s">
        <v>15</v>
      </c>
      <c r="C56" s="15" t="s">
        <v>121</v>
      </c>
      <c r="D56" s="15" t="s">
        <v>122</v>
      </c>
      <c r="E56" s="15" t="s">
        <v>123</v>
      </c>
      <c r="F56" s="15" t="s">
        <v>46</v>
      </c>
    </row>
    <row r="57" spans="1:6" x14ac:dyDescent="0.3">
      <c r="A57" s="8" t="s">
        <v>124</v>
      </c>
      <c r="B57" s="16">
        <v>8000</v>
      </c>
      <c r="C57" s="26">
        <v>9</v>
      </c>
      <c r="D57" s="26">
        <v>20</v>
      </c>
      <c r="E57" s="16">
        <v>681987</v>
      </c>
      <c r="F57" s="17" t="s">
        <v>125</v>
      </c>
    </row>
    <row r="58" spans="1:6" x14ac:dyDescent="0.3">
      <c r="A58" s="4" t="s">
        <v>126</v>
      </c>
      <c r="B58" s="16">
        <v>11000</v>
      </c>
      <c r="C58" s="26">
        <v>16</v>
      </c>
      <c r="D58" s="26">
        <v>42</v>
      </c>
      <c r="E58" s="16">
        <v>1789930</v>
      </c>
      <c r="F58" s="17" t="s">
        <v>127</v>
      </c>
    </row>
    <row r="59" spans="1:6" x14ac:dyDescent="0.3">
      <c r="A59" s="8" t="s">
        <v>128</v>
      </c>
      <c r="B59" s="16">
        <v>14500</v>
      </c>
      <c r="C59" s="26">
        <v>21</v>
      </c>
      <c r="D59" s="26">
        <v>48</v>
      </c>
      <c r="E59" s="16">
        <v>2843938</v>
      </c>
      <c r="F59" s="17" t="s">
        <v>129</v>
      </c>
    </row>
    <row r="61" spans="1:6" x14ac:dyDescent="0.3">
      <c r="A61" s="28" t="s">
        <v>130</v>
      </c>
    </row>
    <row r="63" spans="1:6" x14ac:dyDescent="0.3">
      <c r="A63" s="13" t="s">
        <v>131</v>
      </c>
      <c r="B63" s="14"/>
      <c r="C63" s="14"/>
      <c r="D63" s="14"/>
      <c r="E63" s="14"/>
      <c r="F63" s="14"/>
    </row>
    <row r="64" spans="1:6" ht="30" customHeight="1" x14ac:dyDescent="0.3">
      <c r="A64" s="15" t="s">
        <v>132</v>
      </c>
      <c r="B64" s="15" t="s">
        <v>133</v>
      </c>
      <c r="C64" s="15" t="s">
        <v>134</v>
      </c>
      <c r="D64" s="15" t="s">
        <v>135</v>
      </c>
      <c r="E64" s="15" t="s">
        <v>136</v>
      </c>
    </row>
    <row r="65" spans="1:6" x14ac:dyDescent="0.3">
      <c r="A65" s="8" t="s">
        <v>137</v>
      </c>
      <c r="B65" s="16">
        <v>3700</v>
      </c>
      <c r="C65" s="16">
        <v>3389</v>
      </c>
      <c r="D65" s="16">
        <v>3100</v>
      </c>
      <c r="E65" s="17" t="s">
        <v>138</v>
      </c>
    </row>
    <row r="66" spans="1:6" x14ac:dyDescent="0.3">
      <c r="A66" s="8" t="s">
        <v>139</v>
      </c>
      <c r="B66" s="16">
        <v>450</v>
      </c>
      <c r="C66" s="16">
        <v>600</v>
      </c>
      <c r="D66" s="16">
        <v>750</v>
      </c>
      <c r="E66" s="17" t="s">
        <v>138</v>
      </c>
    </row>
    <row r="67" spans="1:6" x14ac:dyDescent="0.3">
      <c r="A67" s="8" t="s">
        <v>140</v>
      </c>
      <c r="B67" s="27">
        <v>0.11</v>
      </c>
      <c r="C67" s="27">
        <v>0.09</v>
      </c>
      <c r="D67" s="27">
        <v>0.08</v>
      </c>
      <c r="E67" s="17" t="s">
        <v>141</v>
      </c>
    </row>
    <row r="68" spans="1:6" x14ac:dyDescent="0.3">
      <c r="A68" s="8" t="s">
        <v>142</v>
      </c>
      <c r="B68" s="16">
        <v>-382</v>
      </c>
      <c r="C68" s="16">
        <v>0</v>
      </c>
      <c r="D68" s="16">
        <v>280</v>
      </c>
      <c r="E68" s="17" t="s">
        <v>143</v>
      </c>
    </row>
    <row r="70" spans="1:6" x14ac:dyDescent="0.3">
      <c r="A70" s="13" t="s">
        <v>144</v>
      </c>
      <c r="B70" s="14"/>
      <c r="C70" s="14"/>
      <c r="D70" s="14"/>
      <c r="E70" s="14"/>
      <c r="F70" s="14"/>
    </row>
    <row r="71" spans="1:6" ht="30" customHeight="1" x14ac:dyDescent="0.3">
      <c r="A71" s="15" t="s">
        <v>106</v>
      </c>
      <c r="B71" s="15" t="s">
        <v>145</v>
      </c>
      <c r="C71" s="15" t="s">
        <v>146</v>
      </c>
      <c r="D71" s="15" t="s">
        <v>44</v>
      </c>
      <c r="E71" s="15" t="s">
        <v>45</v>
      </c>
    </row>
    <row r="72" spans="1:6" x14ac:dyDescent="0.3">
      <c r="A72" s="8" t="s">
        <v>147</v>
      </c>
      <c r="B72" s="16">
        <v>231514</v>
      </c>
      <c r="D72" s="17" t="s">
        <v>148</v>
      </c>
      <c r="E72" s="18">
        <v>1</v>
      </c>
    </row>
    <row r="73" spans="1:6" x14ac:dyDescent="0.3">
      <c r="A73" s="8" t="s">
        <v>149</v>
      </c>
      <c r="B73" s="27">
        <v>2.8000000000000001E-2</v>
      </c>
      <c r="D73" s="17" t="s">
        <v>148</v>
      </c>
      <c r="E73" s="18">
        <v>1</v>
      </c>
    </row>
    <row r="74" spans="1:6" x14ac:dyDescent="0.3">
      <c r="A74" s="8" t="s">
        <v>150</v>
      </c>
      <c r="B74" s="27">
        <v>0.44700000000000001</v>
      </c>
      <c r="C74" s="27">
        <v>0.28699999999999998</v>
      </c>
      <c r="D74" s="17" t="s">
        <v>148</v>
      </c>
      <c r="E74" s="18">
        <v>1</v>
      </c>
    </row>
    <row r="76" spans="1:6" x14ac:dyDescent="0.3">
      <c r="A76" s="4" t="s">
        <v>151</v>
      </c>
    </row>
    <row r="77" spans="1:6" ht="30" customHeight="1" x14ac:dyDescent="0.3">
      <c r="A77" s="15" t="s">
        <v>152</v>
      </c>
      <c r="B77" s="15" t="s">
        <v>145</v>
      </c>
      <c r="C77" s="15" t="s">
        <v>146</v>
      </c>
      <c r="D77" s="15" t="s">
        <v>44</v>
      </c>
      <c r="E77" s="15" t="s">
        <v>45</v>
      </c>
    </row>
    <row r="78" spans="1:6" x14ac:dyDescent="0.3">
      <c r="A78" s="8" t="s">
        <v>153</v>
      </c>
      <c r="B78" s="16">
        <v>1036</v>
      </c>
      <c r="C78" s="16">
        <v>6265</v>
      </c>
      <c r="D78" s="17" t="s">
        <v>148</v>
      </c>
      <c r="E78" s="18">
        <v>1</v>
      </c>
    </row>
    <row r="79" spans="1:6" x14ac:dyDescent="0.3">
      <c r="A79" s="8" t="s">
        <v>154</v>
      </c>
      <c r="B79" s="16">
        <v>1629</v>
      </c>
      <c r="C79" s="16">
        <v>1853</v>
      </c>
      <c r="D79" s="17" t="s">
        <v>148</v>
      </c>
      <c r="E79" s="18">
        <v>1</v>
      </c>
    </row>
    <row r="80" spans="1:6" x14ac:dyDescent="0.3">
      <c r="A80" s="8" t="s">
        <v>155</v>
      </c>
      <c r="B80" s="16">
        <v>281</v>
      </c>
      <c r="C80" s="16">
        <v>283</v>
      </c>
      <c r="D80" s="17" t="s">
        <v>148</v>
      </c>
      <c r="E80" s="18">
        <v>1</v>
      </c>
    </row>
    <row r="81" spans="1:6" x14ac:dyDescent="0.3">
      <c r="A81" s="8" t="s">
        <v>156</v>
      </c>
      <c r="B81" s="16">
        <v>196</v>
      </c>
      <c r="C81" s="16">
        <v>772</v>
      </c>
      <c r="D81" s="17" t="s">
        <v>148</v>
      </c>
      <c r="E81" s="18">
        <v>1</v>
      </c>
    </row>
    <row r="83" spans="1:6" x14ac:dyDescent="0.3">
      <c r="A83" s="13" t="s">
        <v>157</v>
      </c>
      <c r="B83" s="14"/>
      <c r="C83" s="14"/>
      <c r="D83" s="14"/>
      <c r="E83" s="14"/>
      <c r="F83" s="14"/>
    </row>
    <row r="84" spans="1:6" ht="30" customHeight="1" x14ac:dyDescent="0.3">
      <c r="A84" s="15" t="s">
        <v>41</v>
      </c>
      <c r="B84" s="15" t="s">
        <v>42</v>
      </c>
      <c r="C84" s="15" t="s">
        <v>43</v>
      </c>
      <c r="D84" s="15" t="s">
        <v>44</v>
      </c>
      <c r="E84" s="15" t="s">
        <v>45</v>
      </c>
      <c r="F84" s="15" t="s">
        <v>46</v>
      </c>
    </row>
    <row r="85" spans="1:6" x14ac:dyDescent="0.3">
      <c r="A85" s="8" t="s">
        <v>158</v>
      </c>
      <c r="B85" s="16">
        <v>-77949</v>
      </c>
      <c r="C85" s="16">
        <v>774579</v>
      </c>
      <c r="D85" s="17" t="s">
        <v>159</v>
      </c>
      <c r="E85" s="18">
        <v>1</v>
      </c>
      <c r="F85" s="34" t="s">
        <v>160</v>
      </c>
    </row>
    <row r="86" spans="1:6" x14ac:dyDescent="0.3">
      <c r="A86" s="4" t="s">
        <v>161</v>
      </c>
      <c r="B86" s="35">
        <f>B85-C85</f>
        <v>-852528</v>
      </c>
      <c r="F86" s="17" t="s">
        <v>162</v>
      </c>
    </row>
    <row r="92" spans="1:6" x14ac:dyDescent="0.3">
      <c r="A92" s="13" t="s">
        <v>163</v>
      </c>
      <c r="B92" s="14"/>
      <c r="C92" s="14"/>
      <c r="D92" s="14"/>
      <c r="E92" s="14"/>
      <c r="F92" s="14"/>
    </row>
    <row r="93" spans="1:6" ht="30" customHeight="1" x14ac:dyDescent="0.3">
      <c r="A93" s="15" t="s">
        <v>132</v>
      </c>
      <c r="B93" s="15" t="s">
        <v>59</v>
      </c>
      <c r="D93" s="15" t="s">
        <v>126</v>
      </c>
      <c r="F93" s="15" t="s">
        <v>46</v>
      </c>
    </row>
    <row r="94" spans="1:6" x14ac:dyDescent="0.3">
      <c r="A94" s="8" t="s">
        <v>164</v>
      </c>
      <c r="B94" s="27">
        <v>4.4999999999999998E-2</v>
      </c>
      <c r="D94" s="17" t="s">
        <v>165</v>
      </c>
    </row>
    <row r="95" spans="1:6" x14ac:dyDescent="0.3">
      <c r="A95" s="8" t="s">
        <v>166</v>
      </c>
      <c r="B95" s="27">
        <v>0.06</v>
      </c>
      <c r="D95" s="17" t="s">
        <v>167</v>
      </c>
    </row>
    <row r="96" spans="1:6" x14ac:dyDescent="0.3">
      <c r="A96" s="8" t="s">
        <v>168</v>
      </c>
      <c r="B96" s="36">
        <v>1.1000000000000001</v>
      </c>
      <c r="D96" s="17" t="s">
        <v>169</v>
      </c>
    </row>
    <row r="97" spans="1:7" x14ac:dyDescent="0.3">
      <c r="A97" s="8" t="s">
        <v>170</v>
      </c>
      <c r="B97" s="27">
        <v>6.5000000000000002E-2</v>
      </c>
      <c r="D97" s="17" t="s">
        <v>171</v>
      </c>
    </row>
    <row r="98" spans="1:7" x14ac:dyDescent="0.3">
      <c r="A98" s="8" t="s">
        <v>172</v>
      </c>
      <c r="B98" s="27">
        <v>0.23</v>
      </c>
      <c r="D98" s="17" t="s">
        <v>173</v>
      </c>
    </row>
    <row r="99" spans="1:7" x14ac:dyDescent="0.3">
      <c r="A99" s="8" t="s">
        <v>174</v>
      </c>
      <c r="B99" s="27">
        <v>0.35</v>
      </c>
      <c r="D99" s="17" t="s">
        <v>175</v>
      </c>
    </row>
    <row r="100" spans="1:7" x14ac:dyDescent="0.3">
      <c r="A100" s="8" t="s">
        <v>176</v>
      </c>
      <c r="B100" s="27">
        <v>1.4999999999999999E-2</v>
      </c>
      <c r="D100" s="17" t="s">
        <v>177</v>
      </c>
    </row>
    <row r="101" spans="1:7" x14ac:dyDescent="0.3">
      <c r="A101" s="8" t="s">
        <v>178</v>
      </c>
      <c r="B101" s="27">
        <v>0.03</v>
      </c>
      <c r="D101" s="17" t="s">
        <v>179</v>
      </c>
    </row>
    <row r="102" spans="1:7" x14ac:dyDescent="0.3">
      <c r="A102" s="8" t="s">
        <v>180</v>
      </c>
      <c r="B102" s="27">
        <v>1.0999999999999999E-2</v>
      </c>
      <c r="D102" s="17" t="s">
        <v>181</v>
      </c>
    </row>
    <row r="103" spans="1:7" x14ac:dyDescent="0.3">
      <c r="A103" s="8" t="s">
        <v>182</v>
      </c>
      <c r="B103" s="27">
        <v>1.2E-2</v>
      </c>
      <c r="D103" s="17" t="s">
        <v>183</v>
      </c>
    </row>
    <row r="104" spans="1:7" x14ac:dyDescent="0.3">
      <c r="A104" s="8" t="s">
        <v>184</v>
      </c>
      <c r="B104" s="27">
        <v>0.08</v>
      </c>
      <c r="D104" s="17" t="s">
        <v>185</v>
      </c>
    </row>
    <row r="107" spans="1:7" x14ac:dyDescent="0.3">
      <c r="A107" s="13" t="s">
        <v>186</v>
      </c>
      <c r="B107" s="14"/>
      <c r="C107" s="14"/>
      <c r="D107" s="14"/>
      <c r="E107" s="14"/>
      <c r="F107" s="14"/>
    </row>
    <row r="108" spans="1:7" ht="30" customHeight="1" x14ac:dyDescent="0.3">
      <c r="A108" s="15" t="s">
        <v>187</v>
      </c>
      <c r="B108" s="15" t="s">
        <v>188</v>
      </c>
      <c r="C108" s="15" t="s">
        <v>189</v>
      </c>
      <c r="D108" s="15" t="s">
        <v>190</v>
      </c>
      <c r="E108" s="15" t="s">
        <v>191</v>
      </c>
      <c r="F108" s="15" t="s">
        <v>192</v>
      </c>
      <c r="G108" s="15" t="s">
        <v>193</v>
      </c>
    </row>
    <row r="109" spans="1:7" x14ac:dyDescent="0.3">
      <c r="A109" s="4" t="s">
        <v>194</v>
      </c>
      <c r="B109" s="37">
        <f>B27/1000</f>
        <v>1712.374</v>
      </c>
      <c r="C109" s="37">
        <f>B13/1000</f>
        <v>4589</v>
      </c>
      <c r="D109" s="37">
        <f>B12/1000*2</f>
        <v>6524</v>
      </c>
      <c r="E109" s="37">
        <f>(B7+B8-B19)/1000*2</f>
        <v>419.59199999999998</v>
      </c>
      <c r="F109" s="37">
        <f>מפל!B14/1000*2</f>
        <v>-156.81</v>
      </c>
      <c r="G109" s="38">
        <f>B12*2/6203000-1</f>
        <v>5.174915363533783E-2</v>
      </c>
    </row>
    <row r="110" spans="1:7" x14ac:dyDescent="0.3">
      <c r="A110" s="8" t="s">
        <v>195</v>
      </c>
      <c r="B110" s="16">
        <v>2562</v>
      </c>
      <c r="C110" s="16">
        <v>7755</v>
      </c>
      <c r="D110" s="16">
        <v>9400</v>
      </c>
      <c r="E110" s="16">
        <v>696.2</v>
      </c>
      <c r="F110" s="16">
        <v>300</v>
      </c>
      <c r="G110" s="27">
        <v>0.15</v>
      </c>
    </row>
    <row r="111" spans="1:7" x14ac:dyDescent="0.3">
      <c r="A111" s="8" t="s">
        <v>196</v>
      </c>
      <c r="B111" s="16">
        <v>3591</v>
      </c>
      <c r="C111" s="16">
        <v>4672</v>
      </c>
      <c r="D111" s="16">
        <v>5350</v>
      </c>
      <c r="E111" s="16">
        <v>418</v>
      </c>
      <c r="F111" s="16">
        <v>238</v>
      </c>
      <c r="G111" s="39" t="s">
        <v>67</v>
      </c>
    </row>
    <row r="112" spans="1:7" x14ac:dyDescent="0.3">
      <c r="A112" s="8" t="s">
        <v>197</v>
      </c>
      <c r="B112" s="39" t="s">
        <v>67</v>
      </c>
      <c r="C112" s="39" t="s">
        <v>67</v>
      </c>
      <c r="D112" s="16">
        <v>7000</v>
      </c>
      <c r="E112" s="16">
        <v>826</v>
      </c>
      <c r="F112" s="16">
        <v>452</v>
      </c>
      <c r="G112" s="27">
        <v>0.18</v>
      </c>
    </row>
    <row r="113" spans="1:1" x14ac:dyDescent="0.3">
      <c r="A113" s="28" t="s">
        <v>198</v>
      </c>
    </row>
    <row r="114" spans="1:1" ht="34.5" x14ac:dyDescent="0.3">
      <c r="A114" s="40" t="s">
        <v>199</v>
      </c>
    </row>
  </sheetData>
  <pageMargins left="0.75" right="0.75" top="1" bottom="1" header="0.5" footer="0.5"/>
  <pageSetup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21"/>
  <sheetViews>
    <sheetView showGridLines="0" rightToLeft="1" workbookViewId="0">
      <pane ySplit="3" topLeftCell="A4" activePane="bottomLeft" state="frozen"/>
      <selection pane="bottomLeft"/>
    </sheetView>
  </sheetViews>
  <sheetFormatPr defaultRowHeight="14" x14ac:dyDescent="0.3"/>
  <cols>
    <col min="1" max="1" width="36" customWidth="1"/>
    <col min="2" max="3" width="16" customWidth="1"/>
    <col min="4" max="4" width="14" customWidth="1"/>
    <col min="5" max="5" width="13" customWidth="1"/>
    <col min="6" max="6" width="46" customWidth="1"/>
  </cols>
  <sheetData>
    <row r="1" spans="1:6" ht="24" customHeight="1" x14ac:dyDescent="0.3">
      <c r="A1" s="1" t="s">
        <v>200</v>
      </c>
    </row>
    <row r="2" spans="1:6" ht="16" customHeight="1" x14ac:dyDescent="0.3">
      <c r="A2" s="2" t="s">
        <v>201</v>
      </c>
    </row>
    <row r="3" spans="1:6" x14ac:dyDescent="0.3">
      <c r="A3" s="3"/>
      <c r="B3" s="3"/>
      <c r="C3" s="3"/>
      <c r="D3" s="3"/>
      <c r="E3" s="3"/>
      <c r="F3" s="3"/>
    </row>
    <row r="5" spans="1:6" ht="30" customHeight="1" x14ac:dyDescent="0.3">
      <c r="A5" s="15" t="s">
        <v>202</v>
      </c>
      <c r="B5" s="15" t="s">
        <v>42</v>
      </c>
      <c r="C5" s="15" t="s">
        <v>43</v>
      </c>
      <c r="D5" s="15" t="s">
        <v>203</v>
      </c>
      <c r="E5" s="15" t="s">
        <v>204</v>
      </c>
      <c r="F5" s="15" t="s">
        <v>205</v>
      </c>
    </row>
    <row r="6" spans="1:6" x14ac:dyDescent="0.3">
      <c r="A6" s="41" t="s">
        <v>47</v>
      </c>
      <c r="B6" s="42">
        <f>קלט!B7</f>
        <v>316725</v>
      </c>
      <c r="C6" s="42">
        <f>קלט!C7</f>
        <v>317852</v>
      </c>
      <c r="D6" s="43">
        <f t="shared" ref="D6:D14" si="0">B6-C6</f>
        <v>-1127</v>
      </c>
      <c r="E6" s="44">
        <f t="shared" ref="E6:E14" si="1">IF(C6=0,"",B6/ABS(C6)-1)</f>
        <v>-3.5456753457584478E-3</v>
      </c>
      <c r="F6" s="17" t="s">
        <v>206</v>
      </c>
    </row>
    <row r="7" spans="1:6" x14ac:dyDescent="0.3">
      <c r="A7" s="8" t="s">
        <v>207</v>
      </c>
      <c r="B7" s="37">
        <f>קלט!B8</f>
        <v>-5929</v>
      </c>
      <c r="C7" s="37">
        <f>קלט!C8</f>
        <v>-8734</v>
      </c>
      <c r="D7" s="45">
        <f t="shared" si="0"/>
        <v>2805</v>
      </c>
      <c r="E7" s="38">
        <f t="shared" si="1"/>
        <v>-1.6788413098236776</v>
      </c>
      <c r="F7" s="17" t="s">
        <v>206</v>
      </c>
    </row>
    <row r="8" spans="1:6" x14ac:dyDescent="0.3">
      <c r="A8" s="41" t="s">
        <v>208</v>
      </c>
      <c r="B8" s="46">
        <f>B6+B7</f>
        <v>310796</v>
      </c>
      <c r="C8" s="46">
        <f>C6+C7</f>
        <v>309118</v>
      </c>
      <c r="D8" s="43">
        <f t="shared" si="0"/>
        <v>1678</v>
      </c>
      <c r="E8" s="44">
        <f t="shared" si="1"/>
        <v>5.4283477506971156E-3</v>
      </c>
      <c r="F8" s="17" t="s">
        <v>209</v>
      </c>
    </row>
    <row r="9" spans="1:6" x14ac:dyDescent="0.3">
      <c r="A9" s="8" t="s">
        <v>210</v>
      </c>
      <c r="B9" s="37">
        <f>קלט!B9</f>
        <v>-271256</v>
      </c>
      <c r="C9" s="37">
        <f>קלט!C9</f>
        <v>-172586</v>
      </c>
      <c r="D9" s="45">
        <f t="shared" si="0"/>
        <v>-98670</v>
      </c>
      <c r="E9" s="38">
        <f t="shared" si="1"/>
        <v>-2.5717149710868785</v>
      </c>
      <c r="F9" s="17" t="s">
        <v>206</v>
      </c>
    </row>
    <row r="10" spans="1:6" x14ac:dyDescent="0.3">
      <c r="A10" s="41" t="s">
        <v>211</v>
      </c>
      <c r="B10" s="46">
        <f>B8+B9</f>
        <v>39540</v>
      </c>
      <c r="C10" s="46">
        <f>C8+C9</f>
        <v>136532</v>
      </c>
      <c r="D10" s="43">
        <f t="shared" si="0"/>
        <v>-96992</v>
      </c>
      <c r="E10" s="44">
        <f t="shared" si="1"/>
        <v>-0.71039756247619601</v>
      </c>
      <c r="F10" s="17" t="s">
        <v>212</v>
      </c>
    </row>
    <row r="11" spans="1:6" x14ac:dyDescent="0.3">
      <c r="A11" s="8" t="s">
        <v>213</v>
      </c>
      <c r="B11" s="37">
        <f>קלט!B10</f>
        <v>-52167</v>
      </c>
      <c r="C11" s="37">
        <f>קלט!C10</f>
        <v>-44594</v>
      </c>
      <c r="D11" s="45">
        <f t="shared" si="0"/>
        <v>-7573</v>
      </c>
      <c r="E11" s="38">
        <f t="shared" si="1"/>
        <v>-2.1698210521594836</v>
      </c>
      <c r="F11" s="17" t="s">
        <v>206</v>
      </c>
    </row>
    <row r="12" spans="1:6" x14ac:dyDescent="0.3">
      <c r="A12" s="41" t="s">
        <v>214</v>
      </c>
      <c r="B12" s="46">
        <f>B10+B11</f>
        <v>-12627</v>
      </c>
      <c r="C12" s="46">
        <f>C10+C11</f>
        <v>91938</v>
      </c>
      <c r="D12" s="43">
        <f t="shared" si="0"/>
        <v>-104565</v>
      </c>
      <c r="E12" s="44">
        <f t="shared" si="1"/>
        <v>-1.1373425569405469</v>
      </c>
      <c r="F12" s="17" t="s">
        <v>215</v>
      </c>
    </row>
    <row r="13" spans="1:6" x14ac:dyDescent="0.3">
      <c r="A13" s="8" t="s">
        <v>216</v>
      </c>
      <c r="B13" s="37">
        <f>קלט!B11</f>
        <v>-65778</v>
      </c>
      <c r="C13" s="37">
        <f>קלט!C11</f>
        <v>8145</v>
      </c>
      <c r="D13" s="45">
        <f t="shared" si="0"/>
        <v>-73923</v>
      </c>
      <c r="E13" s="38">
        <f t="shared" si="1"/>
        <v>-9.0758747697974211</v>
      </c>
      <c r="F13" s="17" t="s">
        <v>206</v>
      </c>
    </row>
    <row r="14" spans="1:6" x14ac:dyDescent="0.3">
      <c r="A14" s="47" t="s">
        <v>217</v>
      </c>
      <c r="B14" s="48">
        <f>B12+B13</f>
        <v>-78405</v>
      </c>
      <c r="C14" s="48">
        <f>C12+C13</f>
        <v>100083</v>
      </c>
      <c r="D14" s="49">
        <f t="shared" si="0"/>
        <v>-178488</v>
      </c>
      <c r="E14" s="50">
        <f t="shared" si="1"/>
        <v>-1.7833997781841071</v>
      </c>
      <c r="F14" s="17" t="s">
        <v>218</v>
      </c>
    </row>
    <row r="16" spans="1:6" x14ac:dyDescent="0.3">
      <c r="A16" s="51" t="s">
        <v>219</v>
      </c>
    </row>
    <row r="17" spans="1:6" x14ac:dyDescent="0.3">
      <c r="A17" s="8" t="s">
        <v>220</v>
      </c>
      <c r="B17" s="48">
        <f>B6-קלט!B19</f>
        <v>215725</v>
      </c>
      <c r="C17" s="45">
        <f>C6</f>
        <v>317852</v>
      </c>
      <c r="D17" s="45">
        <f>B17-C17</f>
        <v>-102127</v>
      </c>
      <c r="E17" s="38">
        <f>B17/ABS(C17)-1</f>
        <v>-0.32130362558675107</v>
      </c>
      <c r="F17" s="19" t="s">
        <v>221</v>
      </c>
    </row>
    <row r="19" spans="1:6" x14ac:dyDescent="0.3">
      <c r="A19" s="51" t="s">
        <v>222</v>
      </c>
    </row>
    <row r="20" spans="1:6" x14ac:dyDescent="0.3">
      <c r="A20" s="8" t="s">
        <v>223</v>
      </c>
      <c r="B20" s="23">
        <f>-(B9+B13)</f>
        <v>337034</v>
      </c>
      <c r="F20" s="22" t="s">
        <v>224</v>
      </c>
    </row>
    <row r="21" spans="1:6" x14ac:dyDescent="0.3">
      <c r="A21" s="8" t="s">
        <v>225</v>
      </c>
      <c r="B21" s="38">
        <f>B20/B6</f>
        <v>1.0641218722866841</v>
      </c>
    </row>
  </sheetData>
  <pageMargins left="0.75" right="0.75" top="1" bottom="1" header="0.5" footer="0.5"/>
  <pageSetup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30"/>
  <sheetViews>
    <sheetView showGridLines="0" rightToLeft="1" workbookViewId="0">
      <pane ySplit="3" topLeftCell="A4" activePane="bottomLeft" state="frozen"/>
      <selection pane="bottomLeft"/>
    </sheetView>
  </sheetViews>
  <sheetFormatPr defaultRowHeight="14" x14ac:dyDescent="0.3"/>
  <cols>
    <col min="1" max="1" width="40" customWidth="1"/>
    <col min="2" max="2" width="17" customWidth="1"/>
    <col min="3" max="5" width="15" customWidth="1"/>
    <col min="6" max="6" width="44" customWidth="1"/>
    <col min="7" max="7" width="24" customWidth="1"/>
  </cols>
  <sheetData>
    <row r="1" spans="1:6" ht="24" customHeight="1" x14ac:dyDescent="0.3">
      <c r="A1" s="1" t="s">
        <v>226</v>
      </c>
    </row>
    <row r="2" spans="1:6" ht="16" customHeight="1" x14ac:dyDescent="0.3">
      <c r="A2" s="2" t="s">
        <v>227</v>
      </c>
    </row>
    <row r="3" spans="1:6" x14ac:dyDescent="0.3">
      <c r="A3" s="3"/>
      <c r="B3" s="3"/>
      <c r="C3" s="3"/>
      <c r="D3" s="3"/>
      <c r="E3" s="3"/>
      <c r="F3" s="3"/>
    </row>
    <row r="5" spans="1:6" x14ac:dyDescent="0.3">
      <c r="A5" s="51" t="s">
        <v>205</v>
      </c>
    </row>
    <row r="6" spans="1:6" x14ac:dyDescent="0.3">
      <c r="A6" s="4" t="s">
        <v>228</v>
      </c>
    </row>
    <row r="7" spans="1:6" ht="26" customHeight="1" x14ac:dyDescent="0.3">
      <c r="A7" s="22" t="s">
        <v>229</v>
      </c>
    </row>
    <row r="9" spans="1:6" ht="30" customHeight="1" x14ac:dyDescent="0.3">
      <c r="A9" s="15" t="s">
        <v>70</v>
      </c>
      <c r="B9" s="15" t="s">
        <v>59</v>
      </c>
      <c r="C9" s="15" t="s">
        <v>43</v>
      </c>
      <c r="F9" s="15" t="s">
        <v>44</v>
      </c>
    </row>
    <row r="10" spans="1:6" x14ac:dyDescent="0.3">
      <c r="A10" s="8" t="s">
        <v>220</v>
      </c>
      <c r="B10" s="37">
        <f>מפל!B17</f>
        <v>215725</v>
      </c>
      <c r="C10" s="37">
        <f>מפל!C17</f>
        <v>317852</v>
      </c>
      <c r="F10" s="17" t="s">
        <v>230</v>
      </c>
    </row>
    <row r="11" spans="1:6" x14ac:dyDescent="0.3">
      <c r="A11" s="8" t="s">
        <v>207</v>
      </c>
      <c r="B11" s="37">
        <f>קלט!B8</f>
        <v>-5929</v>
      </c>
      <c r="C11" s="37">
        <f>קלט!C8</f>
        <v>-8734</v>
      </c>
    </row>
    <row r="12" spans="1:6" x14ac:dyDescent="0.3">
      <c r="A12" s="4" t="s">
        <v>231</v>
      </c>
      <c r="B12" s="46">
        <f>B10+B11</f>
        <v>209796</v>
      </c>
      <c r="C12" s="46">
        <f>C10+C11</f>
        <v>309118</v>
      </c>
    </row>
    <row r="13" spans="1:6" x14ac:dyDescent="0.3">
      <c r="A13" s="8" t="s">
        <v>232</v>
      </c>
      <c r="B13" s="37">
        <f>-קלט!B9</f>
        <v>271256</v>
      </c>
      <c r="C13" s="37">
        <f>-קלט!C9</f>
        <v>172586</v>
      </c>
    </row>
    <row r="14" spans="1:6" ht="15.5" x14ac:dyDescent="0.3">
      <c r="A14" s="52" t="s">
        <v>110</v>
      </c>
      <c r="B14" s="53">
        <f>B12/B13</f>
        <v>0.77342436664995429</v>
      </c>
      <c r="C14" s="54">
        <f>C12/C13</f>
        <v>1.791095453860684</v>
      </c>
      <c r="F14" s="22" t="s">
        <v>233</v>
      </c>
    </row>
    <row r="17" spans="1:7" x14ac:dyDescent="0.3">
      <c r="A17" s="51" t="s">
        <v>234</v>
      </c>
    </row>
    <row r="18" spans="1:7" ht="30" customHeight="1" x14ac:dyDescent="0.3">
      <c r="A18" s="15" t="s">
        <v>235</v>
      </c>
      <c r="B18" s="15" t="s">
        <v>236</v>
      </c>
      <c r="C18" s="15" t="s">
        <v>237</v>
      </c>
      <c r="D18" s="15" t="s">
        <v>238</v>
      </c>
      <c r="E18" s="15" t="s">
        <v>239</v>
      </c>
      <c r="F18" s="15" t="s">
        <v>240</v>
      </c>
    </row>
    <row r="19" spans="1:7" x14ac:dyDescent="0.3">
      <c r="A19" s="8" t="s">
        <v>241</v>
      </c>
      <c r="B19" s="16">
        <v>0</v>
      </c>
      <c r="C19" s="45">
        <f>קלט!B7-B19</f>
        <v>316725</v>
      </c>
      <c r="D19" s="45">
        <f>C19+קלט!B8</f>
        <v>310796</v>
      </c>
      <c r="E19" s="55">
        <f>D19/$B$13</f>
        <v>1.1457663609284219</v>
      </c>
      <c r="F19" s="38">
        <f>C19/קלט!C7-1</f>
        <v>-3.5456753457584478E-3</v>
      </c>
      <c r="G19" s="56" t="str">
        <f>IF(E19&lt;1,"אינו מכסה את הריבית","מכסה")</f>
        <v>מכסה</v>
      </c>
    </row>
    <row r="20" spans="1:7" x14ac:dyDescent="0.3">
      <c r="A20" s="8" t="s">
        <v>242</v>
      </c>
      <c r="B20" s="16">
        <v>70000</v>
      </c>
      <c r="C20" s="45">
        <f>קלט!B7-B20</f>
        <v>246725</v>
      </c>
      <c r="D20" s="45">
        <f>C20+קלט!B8</f>
        <v>240796</v>
      </c>
      <c r="E20" s="55">
        <f>D20/$B$13</f>
        <v>0.88770755301265225</v>
      </c>
      <c r="F20" s="38">
        <f>C20/קלט!C7-1</f>
        <v>-0.22377395769100084</v>
      </c>
      <c r="G20" s="56" t="str">
        <f>IF(E20&lt;1,"אינו מכסה את הריבית","מכסה")</f>
        <v>אינו מכסה את הריבית</v>
      </c>
    </row>
    <row r="21" spans="1:7" x14ac:dyDescent="0.3">
      <c r="A21" s="47" t="s">
        <v>243</v>
      </c>
      <c r="B21" s="57">
        <f>קלט!B19</f>
        <v>101000</v>
      </c>
      <c r="C21" s="49">
        <f>קלט!B7-B21</f>
        <v>215725</v>
      </c>
      <c r="D21" s="49">
        <f>C21+קלט!B8</f>
        <v>209796</v>
      </c>
      <c r="E21" s="58">
        <f>D21/$B$13</f>
        <v>0.77342436664995429</v>
      </c>
      <c r="F21" s="50">
        <f>C21/קלט!C7-1</f>
        <v>-0.32130362558675107</v>
      </c>
      <c r="G21" s="59" t="str">
        <f>IF(E21&lt;1,"אינו מכסה את הריבית","מכסה")</f>
        <v>אינו מכסה את הריבית</v>
      </c>
    </row>
    <row r="22" spans="1:7" x14ac:dyDescent="0.3">
      <c r="A22" s="8" t="s">
        <v>244</v>
      </c>
      <c r="B22" s="16">
        <v>109500</v>
      </c>
      <c r="C22" s="45">
        <f>קלט!B7-B22</f>
        <v>207225</v>
      </c>
      <c r="D22" s="45">
        <f>C22+קלט!B8</f>
        <v>201296</v>
      </c>
      <c r="E22" s="55">
        <f>D22/$B$13</f>
        <v>0.74208865426018222</v>
      </c>
      <c r="F22" s="38">
        <f>C22/קלט!C7-1</f>
        <v>-0.34804563130010191</v>
      </c>
      <c r="G22" s="56" t="str">
        <f>IF(E22&lt;1,"אינו מכסה את הריבית","מכסה")</f>
        <v>אינו מכסה את הריבית</v>
      </c>
    </row>
    <row r="24" spans="1:7" ht="28" customHeight="1" x14ac:dyDescent="0.3">
      <c r="A24" s="60" t="str">
        <f>IF(MAX(E20:E22)&lt;1,"גם בהנחת הנטרול הרופפת ביותר הכיסוי נשאר מתחת ל‑1.0 — המסקנה אינה תלויה בבחירת ההנחה.","בהנחת נטרול אחת שבה הכיסוי חוצה 1.0.")</f>
        <v>גם בהנחת הנטרול הרופפת ביותר הכיסוי נשאר מתחת ל‑1.0 — המסקנה אינה תלויה בבחירת ההנחה.</v>
      </c>
    </row>
    <row r="26" spans="1:7" x14ac:dyDescent="0.3">
      <c r="A26" s="51" t="s">
        <v>245</v>
      </c>
    </row>
    <row r="27" spans="1:7" ht="30" customHeight="1" x14ac:dyDescent="0.3">
      <c r="A27" s="15" t="s">
        <v>187</v>
      </c>
      <c r="B27" s="15" t="s">
        <v>246</v>
      </c>
      <c r="C27" s="15" t="s">
        <v>247</v>
      </c>
    </row>
    <row r="28" spans="1:7" x14ac:dyDescent="0.3">
      <c r="A28" s="4" t="s">
        <v>107</v>
      </c>
      <c r="B28" s="61">
        <f>B14</f>
        <v>0.77342436664995429</v>
      </c>
      <c r="C28" s="62" t="s">
        <v>67</v>
      </c>
    </row>
    <row r="29" spans="1:7" x14ac:dyDescent="0.3">
      <c r="A29" s="8" t="s">
        <v>195</v>
      </c>
      <c r="B29" s="30">
        <f>קלט!C44</f>
        <v>1.75</v>
      </c>
      <c r="C29" s="55">
        <f>B29-$B$28</f>
        <v>0.97657563335004571</v>
      </c>
    </row>
    <row r="30" spans="1:7" x14ac:dyDescent="0.3">
      <c r="A30" s="8" t="s">
        <v>248</v>
      </c>
      <c r="B30" s="30">
        <f>קלט!D44</f>
        <v>2.2200000000000002</v>
      </c>
      <c r="C30" s="55">
        <f>B30-$B$28</f>
        <v>1.4465756333500459</v>
      </c>
    </row>
  </sheetData>
  <pageMargins left="0.75" right="0.75" top="1" bottom="1" header="0.5" footer="0.5"/>
  <pageSetup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4"/>
  <sheetViews>
    <sheetView showGridLines="0" rightToLeft="1" workbookViewId="0">
      <pane ySplit="3" topLeftCell="A4" activePane="bottomLeft" state="frozen"/>
      <selection pane="bottomLeft"/>
    </sheetView>
  </sheetViews>
  <sheetFormatPr defaultRowHeight="14" x14ac:dyDescent="0.3"/>
  <cols>
    <col min="1" max="1" width="26" customWidth="1"/>
    <col min="2" max="2" width="14" customWidth="1"/>
    <col min="3" max="4" width="13" customWidth="1"/>
    <col min="5" max="5" width="11" customWidth="1"/>
    <col min="6" max="6" width="12" customWidth="1"/>
    <col min="7" max="7" width="13" customWidth="1"/>
    <col min="8" max="8" width="14" customWidth="1"/>
    <col min="9" max="9" width="15" customWidth="1"/>
    <col min="10" max="10" width="16" customWidth="1"/>
  </cols>
  <sheetData>
    <row r="1" spans="1:10" ht="24" customHeight="1" x14ac:dyDescent="0.3">
      <c r="A1" s="1" t="s">
        <v>249</v>
      </c>
    </row>
    <row r="2" spans="1:10" ht="16" customHeight="1" x14ac:dyDescent="0.3">
      <c r="A2" s="2" t="s">
        <v>250</v>
      </c>
    </row>
    <row r="3" spans="1:10" x14ac:dyDescent="0.3">
      <c r="A3" s="3"/>
      <c r="B3" s="3"/>
      <c r="C3" s="3"/>
      <c r="D3" s="3"/>
      <c r="E3" s="3"/>
      <c r="F3" s="3"/>
      <c r="G3" s="3"/>
      <c r="H3" s="3"/>
      <c r="I3" s="3"/>
    </row>
    <row r="5" spans="1:10" ht="30" customHeight="1" x14ac:dyDescent="0.3">
      <c r="A5" s="15" t="s">
        <v>89</v>
      </c>
      <c r="B5" s="15" t="s">
        <v>90</v>
      </c>
      <c r="C5" s="15" t="s">
        <v>91</v>
      </c>
      <c r="D5" s="15" t="s">
        <v>92</v>
      </c>
      <c r="E5" s="15" t="s">
        <v>251</v>
      </c>
      <c r="F5" s="15" t="s">
        <v>252</v>
      </c>
      <c r="G5" s="15" t="s">
        <v>253</v>
      </c>
      <c r="H5" s="15" t="s">
        <v>254</v>
      </c>
      <c r="I5" s="15" t="s">
        <v>255</v>
      </c>
      <c r="J5" s="15" t="s">
        <v>256</v>
      </c>
    </row>
    <row r="6" spans="1:10" x14ac:dyDescent="0.3">
      <c r="A6" s="9" t="str">
        <f>קלט!A32</f>
        <v>ייבוא ומכירת רכב</v>
      </c>
      <c r="B6" s="32">
        <f>קלט!B32</f>
        <v>1690</v>
      </c>
      <c r="C6" s="32">
        <f>קלט!C32</f>
        <v>70.8</v>
      </c>
      <c r="D6" s="32">
        <f>קלט!D32</f>
        <v>191.4</v>
      </c>
      <c r="E6" s="38">
        <f t="shared" ref="E6:E13" si="0">C6/B6</f>
        <v>4.189349112426035E-2</v>
      </c>
      <c r="F6" s="38">
        <f t="shared" ref="F6:F12" si="1">IF(D6=0,"",C6/ABS(D6)-1)</f>
        <v>-0.6300940438871474</v>
      </c>
      <c r="G6" s="38">
        <f t="shared" ref="G6:G13" si="2">C6/$C$13</f>
        <v>0.22348484848484848</v>
      </c>
      <c r="H6" s="63">
        <f>קלט!G32</f>
        <v>1</v>
      </c>
      <c r="I6" s="33">
        <f>קלט!H32</f>
        <v>1</v>
      </c>
      <c r="J6" s="64">
        <f t="shared" ref="J6:J12" si="3">H6*I6</f>
        <v>1</v>
      </c>
    </row>
    <row r="7" spans="1:10" x14ac:dyDescent="0.3">
      <c r="A7" s="9" t="str">
        <f>קלט!A33</f>
        <v>חלפים ושירותי מוסך</v>
      </c>
      <c r="B7" s="32">
        <f>קלט!B33</f>
        <v>100.9</v>
      </c>
      <c r="C7" s="32">
        <f>קלט!C33</f>
        <v>16.100000000000001</v>
      </c>
      <c r="D7" s="32">
        <f>קלט!D33</f>
        <v>33.1</v>
      </c>
      <c r="E7" s="38">
        <f t="shared" si="0"/>
        <v>0.15956392467789893</v>
      </c>
      <c r="F7" s="38">
        <f t="shared" si="1"/>
        <v>-0.51359516616314194</v>
      </c>
      <c r="G7" s="38">
        <f t="shared" si="2"/>
        <v>5.0820707070707072E-2</v>
      </c>
      <c r="H7" s="63">
        <f>קלט!G33</f>
        <v>1</v>
      </c>
      <c r="I7" s="33">
        <f>קלט!H33</f>
        <v>1</v>
      </c>
      <c r="J7" s="64">
        <f t="shared" si="3"/>
        <v>1</v>
      </c>
    </row>
    <row r="8" spans="1:10" x14ac:dyDescent="0.3">
      <c r="A8" s="9" t="str">
        <f>קלט!A34</f>
        <v>נדל"ן, מימון וליסינג</v>
      </c>
      <c r="B8" s="32">
        <f>קלט!B34</f>
        <v>236.5</v>
      </c>
      <c r="C8" s="32">
        <f>קלט!C34</f>
        <v>121.4</v>
      </c>
      <c r="D8" s="32">
        <f>קלט!D34</f>
        <v>11.9</v>
      </c>
      <c r="E8" s="38">
        <f t="shared" si="0"/>
        <v>0.51331923890063424</v>
      </c>
      <c r="F8" s="38">
        <f t="shared" si="1"/>
        <v>9.2016806722689086</v>
      </c>
      <c r="G8" s="38">
        <f t="shared" si="2"/>
        <v>0.38320707070707072</v>
      </c>
      <c r="H8" s="63">
        <f>קלט!G34</f>
        <v>1</v>
      </c>
      <c r="I8" s="33">
        <f>קלט!H34</f>
        <v>1</v>
      </c>
      <c r="J8" s="64">
        <f t="shared" si="3"/>
        <v>1</v>
      </c>
    </row>
    <row r="9" spans="1:10" x14ac:dyDescent="0.3">
      <c r="A9" s="10" t="str">
        <f>קלט!A35</f>
        <v>איכות הסביבה</v>
      </c>
      <c r="B9" s="32">
        <f>קלט!B35</f>
        <v>558.70000000000005</v>
      </c>
      <c r="C9" s="32">
        <f>קלט!C35</f>
        <v>69.7</v>
      </c>
      <c r="D9" s="32">
        <f>קלט!D35</f>
        <v>7.2</v>
      </c>
      <c r="E9" s="38">
        <f t="shared" si="0"/>
        <v>0.12475389296581349</v>
      </c>
      <c r="F9" s="38">
        <f t="shared" si="1"/>
        <v>8.6805555555555554</v>
      </c>
      <c r="G9" s="38">
        <f t="shared" si="2"/>
        <v>0.22001262626262627</v>
      </c>
      <c r="H9" s="63">
        <f>קלט!G35</f>
        <v>0.50070000000000003</v>
      </c>
      <c r="I9" s="33">
        <f>קלט!H35</f>
        <v>1</v>
      </c>
      <c r="J9" s="64">
        <f t="shared" si="3"/>
        <v>0.50070000000000003</v>
      </c>
    </row>
    <row r="10" spans="1:10" x14ac:dyDescent="0.3">
      <c r="A10" s="10" t="str">
        <f>קלט!A36</f>
        <v>קרטון — אינפיניה</v>
      </c>
      <c r="B10" s="32">
        <f>קלט!B36</f>
        <v>630</v>
      </c>
      <c r="C10" s="32">
        <f>קלט!C36</f>
        <v>15</v>
      </c>
      <c r="D10" s="32">
        <f>קלט!D36</f>
        <v>50</v>
      </c>
      <c r="E10" s="38">
        <f t="shared" si="0"/>
        <v>2.3809523809523808E-2</v>
      </c>
      <c r="F10" s="38">
        <f t="shared" si="1"/>
        <v>-0.7</v>
      </c>
      <c r="G10" s="38">
        <f t="shared" si="2"/>
        <v>4.7348484848484848E-2</v>
      </c>
      <c r="H10" s="63">
        <f>קלט!G36</f>
        <v>0.50070000000000003</v>
      </c>
      <c r="I10" s="33">
        <f>קלט!H36</f>
        <v>1</v>
      </c>
      <c r="J10" s="64">
        <f t="shared" si="3"/>
        <v>0.50070000000000003</v>
      </c>
    </row>
    <row r="11" spans="1:10" x14ac:dyDescent="0.3">
      <c r="A11" s="10" t="str">
        <f>קלט!A37</f>
        <v>התפלת מים</v>
      </c>
      <c r="B11" s="32">
        <f>קלט!B37</f>
        <v>57.2</v>
      </c>
      <c r="C11" s="32">
        <f>קלט!C37</f>
        <v>15.5</v>
      </c>
      <c r="D11" s="32">
        <f>קלט!D37</f>
        <v>15.9</v>
      </c>
      <c r="E11" s="38">
        <f t="shared" si="0"/>
        <v>0.27097902097902099</v>
      </c>
      <c r="F11" s="38">
        <f t="shared" si="1"/>
        <v>-2.515723270440251E-2</v>
      </c>
      <c r="G11" s="38">
        <f t="shared" si="2"/>
        <v>4.8926767676767673E-2</v>
      </c>
      <c r="H11" s="63">
        <f>קלט!G37</f>
        <v>0.50070000000000003</v>
      </c>
      <c r="I11" s="33">
        <f>קלט!H37</f>
        <v>0.5</v>
      </c>
      <c r="J11" s="64">
        <f t="shared" si="3"/>
        <v>0.25035000000000002</v>
      </c>
    </row>
    <row r="12" spans="1:10" x14ac:dyDescent="0.3">
      <c r="A12" s="10" t="str">
        <f>קלט!A38</f>
        <v>אנרגיה</v>
      </c>
      <c r="B12" s="32">
        <f>קלט!B38</f>
        <v>30.8</v>
      </c>
      <c r="C12" s="32">
        <f>קלט!C38</f>
        <v>8.3000000000000007</v>
      </c>
      <c r="D12" s="32">
        <f>קלט!D38</f>
        <v>7.5</v>
      </c>
      <c r="E12" s="38">
        <f t="shared" si="0"/>
        <v>0.26948051948051949</v>
      </c>
      <c r="F12" s="38">
        <f t="shared" si="1"/>
        <v>0.10666666666666669</v>
      </c>
      <c r="G12" s="38">
        <f t="shared" si="2"/>
        <v>2.6199494949494952E-2</v>
      </c>
      <c r="H12" s="63">
        <f>קלט!G38</f>
        <v>0.50070000000000003</v>
      </c>
      <c r="I12" s="33">
        <f>קלט!H38</f>
        <v>0.2</v>
      </c>
      <c r="J12" s="64">
        <f t="shared" si="3"/>
        <v>0.10014000000000001</v>
      </c>
    </row>
    <row r="13" spans="1:10" x14ac:dyDescent="0.3">
      <c r="A13" s="4" t="s">
        <v>257</v>
      </c>
      <c r="B13" s="65">
        <f>SUM(B6:B12)</f>
        <v>3304.1000000000004</v>
      </c>
      <c r="C13" s="65">
        <f>SUM(C6:C12)</f>
        <v>316.8</v>
      </c>
      <c r="D13" s="65">
        <f>SUM(D6:D12)</f>
        <v>317</v>
      </c>
      <c r="E13" s="66">
        <f t="shared" si="0"/>
        <v>9.588087527617202E-2</v>
      </c>
      <c r="F13" s="66">
        <f>C13/D13-1</f>
        <v>-6.3091482649835218E-4</v>
      </c>
      <c r="G13" s="66">
        <f t="shared" si="2"/>
        <v>1</v>
      </c>
    </row>
    <row r="15" spans="1:10" x14ac:dyDescent="0.3">
      <c r="A15" s="51" t="s">
        <v>258</v>
      </c>
    </row>
    <row r="16" spans="1:10" x14ac:dyDescent="0.3">
      <c r="A16" s="8" t="s">
        <v>259</v>
      </c>
      <c r="B16" s="67">
        <f>B13</f>
        <v>3304.1000000000004</v>
      </c>
    </row>
    <row r="17" spans="1:10" x14ac:dyDescent="0.3">
      <c r="A17" s="8" t="s">
        <v>260</v>
      </c>
      <c r="B17" s="32">
        <f>קלט!B12/1000</f>
        <v>3262</v>
      </c>
    </row>
    <row r="18" spans="1:10" x14ac:dyDescent="0.3">
      <c r="A18" s="4" t="s">
        <v>261</v>
      </c>
      <c r="B18" s="68">
        <f>B17-B16</f>
        <v>-42.100000000000364</v>
      </c>
      <c r="C18" s="17" t="s">
        <v>262</v>
      </c>
    </row>
    <row r="20" spans="1:10" x14ac:dyDescent="0.3">
      <c r="A20" s="51" t="s">
        <v>263</v>
      </c>
    </row>
    <row r="21" spans="1:10" ht="30" customHeight="1" x14ac:dyDescent="0.3">
      <c r="A21" s="15" t="s">
        <v>264</v>
      </c>
      <c r="B21" s="15" t="s">
        <v>265</v>
      </c>
      <c r="C21" s="15" t="s">
        <v>266</v>
      </c>
      <c r="D21" s="15" t="s">
        <v>253</v>
      </c>
      <c r="E21" s="15" t="s">
        <v>267</v>
      </c>
    </row>
    <row r="22" spans="1:10" x14ac:dyDescent="0.3">
      <c r="A22" s="8" t="s">
        <v>268</v>
      </c>
      <c r="B22" s="67">
        <f>SUM(B6:B8)</f>
        <v>2027.4</v>
      </c>
      <c r="C22" s="67">
        <f>SUM(C6:C8)</f>
        <v>208.3</v>
      </c>
      <c r="D22" s="38">
        <f>C22/$C$13</f>
        <v>0.6575126262626263</v>
      </c>
      <c r="E22" s="62" t="s">
        <v>269</v>
      </c>
    </row>
    <row r="23" spans="1:10" x14ac:dyDescent="0.3">
      <c r="A23" s="10" t="s">
        <v>270</v>
      </c>
      <c r="B23" s="67">
        <f>SUM(B9:B12)</f>
        <v>1276.7</v>
      </c>
      <c r="C23" s="67">
        <f>SUM(C9:C12)</f>
        <v>108.5</v>
      </c>
      <c r="D23" s="38">
        <f>C23/$C$13</f>
        <v>0.3424873737373737</v>
      </c>
      <c r="E23" s="63">
        <f>קלט!G35</f>
        <v>0.50070000000000003</v>
      </c>
    </row>
    <row r="24" spans="1:10" x14ac:dyDescent="0.3">
      <c r="A24" s="4" t="s">
        <v>271</v>
      </c>
      <c r="B24" s="67">
        <f>B22</f>
        <v>2027.4</v>
      </c>
      <c r="C24" s="69">
        <f>C22-קלט!B19/1000</f>
        <v>107.30000000000001</v>
      </c>
      <c r="D24" s="38">
        <f>C24/($C$13-קלט!B19/1000)</f>
        <v>0.49721964782205746</v>
      </c>
      <c r="F24" s="121" t="s">
        <v>272</v>
      </c>
      <c r="G24" s="122"/>
      <c r="H24" s="122"/>
      <c r="I24" s="122"/>
      <c r="J24" s="122"/>
    </row>
  </sheetData>
  <mergeCells count="1">
    <mergeCell ref="F24:J24"/>
  </mergeCells>
  <pageMargins left="0.75" right="0.75" top="1" bottom="1" header="0.5" footer="0.5"/>
  <pageSetup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24"/>
  <sheetViews>
    <sheetView showGridLines="0" rightToLeft="1" workbookViewId="0">
      <pane ySplit="3" topLeftCell="A4" activePane="bottomLeft" state="frozen"/>
      <selection pane="bottomLeft"/>
    </sheetView>
  </sheetViews>
  <sheetFormatPr defaultRowHeight="14" x14ac:dyDescent="0.3"/>
  <cols>
    <col min="1" max="1" width="26" customWidth="1"/>
    <col min="2" max="2" width="14" customWidth="1"/>
    <col min="3" max="4" width="20" customWidth="1"/>
    <col min="5" max="5" width="16" customWidth="1"/>
    <col min="6" max="6" width="44" customWidth="1"/>
  </cols>
  <sheetData>
    <row r="1" spans="1:6" ht="24" customHeight="1" x14ac:dyDescent="0.3">
      <c r="A1" s="1" t="s">
        <v>273</v>
      </c>
    </row>
    <row r="2" spans="1:6" ht="16" customHeight="1" x14ac:dyDescent="0.3">
      <c r="A2" s="2" t="s">
        <v>274</v>
      </c>
    </row>
    <row r="3" spans="1:6" x14ac:dyDescent="0.3">
      <c r="A3" s="3"/>
      <c r="B3" s="3"/>
      <c r="C3" s="3"/>
      <c r="D3" s="3"/>
      <c r="E3" s="3"/>
      <c r="F3" s="3"/>
    </row>
    <row r="5" spans="1:6" ht="30" customHeight="1" x14ac:dyDescent="0.3">
      <c r="A5" s="15" t="s">
        <v>114</v>
      </c>
      <c r="B5" s="15" t="s">
        <v>15</v>
      </c>
      <c r="C5" s="15" t="s">
        <v>275</v>
      </c>
      <c r="D5" s="15" t="s">
        <v>121</v>
      </c>
      <c r="E5" s="15" t="s">
        <v>203</v>
      </c>
      <c r="F5" s="15" t="s">
        <v>46</v>
      </c>
    </row>
    <row r="6" spans="1:6" x14ac:dyDescent="0.3">
      <c r="A6" s="9" t="str">
        <f>קלט!A50</f>
        <v>2024 — שנה מלאה</v>
      </c>
      <c r="B6" s="37">
        <f>קלט!B50</f>
        <v>18592</v>
      </c>
      <c r="C6" s="32">
        <f>קלט!C50</f>
        <v>406.1</v>
      </c>
      <c r="D6" s="68">
        <f>C6*1000/B6</f>
        <v>21.842728055077451</v>
      </c>
      <c r="E6" s="38" t="str">
        <f>IF(ROW()=6,"",D6/D5-1)</f>
        <v/>
      </c>
      <c r="F6" s="70" t="str">
        <f>קלט!D50</f>
        <v>מדווח</v>
      </c>
    </row>
    <row r="7" spans="1:6" x14ac:dyDescent="0.3">
      <c r="A7" s="9" t="str">
        <f>קלט!A51</f>
        <v>מחצית 2025</v>
      </c>
      <c r="B7" s="37">
        <f>קלט!B51</f>
        <v>11000</v>
      </c>
      <c r="C7" s="32">
        <f>קלט!C51</f>
        <v>192.3</v>
      </c>
      <c r="D7" s="68">
        <f>C7*1000/B7</f>
        <v>17.481818181818181</v>
      </c>
      <c r="E7" s="38">
        <f>IF(ROW()=6,"",D7/D6-1)</f>
        <v>-0.19965042197398764</v>
      </c>
      <c r="F7" s="70" t="str">
        <f>קלט!D51</f>
        <v>היחידות — אומדן מנתוני מסירות</v>
      </c>
    </row>
    <row r="8" spans="1:6" x14ac:dyDescent="0.3">
      <c r="A8" s="9" t="str">
        <f>קלט!A52</f>
        <v>מחצית 2026</v>
      </c>
      <c r="B8" s="37">
        <f>קלט!B52</f>
        <v>4300</v>
      </c>
      <c r="C8" s="32">
        <f>קלט!C52</f>
        <v>70.8</v>
      </c>
      <c r="D8" s="68">
        <f>C8*1000/B8</f>
        <v>16.465116279069768</v>
      </c>
      <c r="E8" s="38">
        <f>IF(ROW()=6,"",D8/D7-1)</f>
        <v>-5.8157675144214993E-2</v>
      </c>
      <c r="F8" s="70" t="str">
        <f>קלט!D52</f>
        <v>היחידות — אומדן מנתוני מסירות</v>
      </c>
    </row>
    <row r="10" spans="1:6" x14ac:dyDescent="0.3">
      <c r="A10" s="51" t="s">
        <v>276</v>
      </c>
    </row>
    <row r="11" spans="1:6" ht="28" customHeight="1" x14ac:dyDescent="0.3">
      <c r="A11" s="8" t="s">
        <v>277</v>
      </c>
      <c r="B11" s="71">
        <f>B8/B7-1</f>
        <v>-0.60909090909090913</v>
      </c>
      <c r="D11" s="60" t="str">
        <f>IF(ABS(B12)&lt;ABS(B11)/3,"מנגנון הרווח ליחידה לא נשבר — זו בעיית נפח.","גם הרווח ליחידה נשחק — זו אינה רק בעיית נפח.")</f>
        <v>מנגנון הרווח ליחידה לא נשבר — זו בעיית נפח.</v>
      </c>
    </row>
    <row r="12" spans="1:6" x14ac:dyDescent="0.3">
      <c r="A12" s="8" t="s">
        <v>278</v>
      </c>
      <c r="B12" s="72">
        <f>D8/D7-1</f>
        <v>-5.8157675144214993E-2</v>
      </c>
    </row>
    <row r="13" spans="1:6" x14ac:dyDescent="0.3">
      <c r="A13" s="8" t="s">
        <v>279</v>
      </c>
      <c r="B13" s="38">
        <f>C8/C7-1</f>
        <v>-0.6318252730109204</v>
      </c>
    </row>
    <row r="16" spans="1:6" x14ac:dyDescent="0.3">
      <c r="A16" s="51" t="s">
        <v>280</v>
      </c>
    </row>
    <row r="17" spans="1:6" ht="30" customHeight="1" x14ac:dyDescent="0.3">
      <c r="A17" s="15" t="s">
        <v>120</v>
      </c>
      <c r="B17" s="15" t="s">
        <v>15</v>
      </c>
      <c r="C17" s="15" t="s">
        <v>121</v>
      </c>
      <c r="D17" s="15" t="s">
        <v>281</v>
      </c>
      <c r="E17" s="15" t="s">
        <v>122</v>
      </c>
      <c r="F17" s="15" t="s">
        <v>282</v>
      </c>
    </row>
    <row r="18" spans="1:6" x14ac:dyDescent="0.3">
      <c r="A18" s="9" t="str">
        <f>קלט!A57</f>
        <v>דובי</v>
      </c>
      <c r="B18" s="37">
        <f>קלט!B57</f>
        <v>8000</v>
      </c>
      <c r="C18" s="32">
        <f>קלט!C57</f>
        <v>9</v>
      </c>
      <c r="D18" s="67">
        <f>B18*C18/1000</f>
        <v>72</v>
      </c>
      <c r="E18" s="32">
        <f>קלט!D57</f>
        <v>20</v>
      </c>
      <c r="F18" s="68">
        <f>D18+E18</f>
        <v>92</v>
      </c>
    </row>
    <row r="19" spans="1:6" x14ac:dyDescent="0.3">
      <c r="A19" s="73" t="str">
        <f>קלט!A58</f>
        <v>בסיס</v>
      </c>
      <c r="B19" s="37">
        <f>קלט!B58</f>
        <v>11000</v>
      </c>
      <c r="C19" s="32">
        <f>קלט!C58</f>
        <v>16</v>
      </c>
      <c r="D19" s="67">
        <f>B19*C19/1000</f>
        <v>176</v>
      </c>
      <c r="E19" s="32">
        <f>קלט!D58</f>
        <v>42</v>
      </c>
      <c r="F19" s="65">
        <f>D19+E19</f>
        <v>218</v>
      </c>
    </row>
    <row r="20" spans="1:6" x14ac:dyDescent="0.3">
      <c r="A20" s="9" t="str">
        <f>קלט!A59</f>
        <v>שורי</v>
      </c>
      <c r="B20" s="37">
        <f>קלט!B59</f>
        <v>14500</v>
      </c>
      <c r="C20" s="32">
        <f>קלט!C59</f>
        <v>21</v>
      </c>
      <c r="D20" s="67">
        <f>B20*C20/1000</f>
        <v>304.5</v>
      </c>
      <c r="E20" s="32">
        <f>קלט!D59</f>
        <v>48</v>
      </c>
      <c r="F20" s="68">
        <f>D20+E20</f>
        <v>352.5</v>
      </c>
    </row>
    <row r="22" spans="1:6" x14ac:dyDescent="0.3">
      <c r="A22" s="74" t="s">
        <v>283</v>
      </c>
      <c r="B22" s="37">
        <f>קלט!B52</f>
        <v>4300</v>
      </c>
      <c r="C22" s="67">
        <f>D8</f>
        <v>16.465116279069768</v>
      </c>
      <c r="D22" s="67">
        <f>C8</f>
        <v>70.8</v>
      </c>
      <c r="E22" s="32">
        <f>מגזרים!C7</f>
        <v>16.100000000000001</v>
      </c>
      <c r="F22" s="68">
        <f>D22+E22</f>
        <v>86.9</v>
      </c>
    </row>
    <row r="24" spans="1:6" ht="26" customHeight="1" x14ac:dyDescent="0.3">
      <c r="A24" s="22" t="s">
        <v>284</v>
      </c>
    </row>
  </sheetData>
  <pageMargins left="0.75" right="0.75" top="1" bottom="1" header="0.5" footer="0.5"/>
  <pageSetup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F22"/>
  <sheetViews>
    <sheetView showGridLines="0" rightToLeft="1" workbookViewId="0">
      <pane ySplit="3" topLeftCell="A4" activePane="bottomLeft" state="frozen"/>
      <selection pane="bottomLeft"/>
    </sheetView>
  </sheetViews>
  <sheetFormatPr defaultRowHeight="14" x14ac:dyDescent="0.3"/>
  <cols>
    <col min="1" max="1" width="34" customWidth="1"/>
    <col min="2" max="2" width="18" customWidth="1"/>
    <col min="3" max="3" width="14" customWidth="1"/>
    <col min="4" max="4" width="24" customWidth="1"/>
    <col min="5" max="5" width="12" customWidth="1"/>
    <col min="6" max="6" width="44" customWidth="1"/>
  </cols>
  <sheetData>
    <row r="1" spans="1:6" ht="24" customHeight="1" x14ac:dyDescent="0.3">
      <c r="A1" s="1" t="s">
        <v>285</v>
      </c>
    </row>
    <row r="2" spans="1:6" ht="16" customHeight="1" x14ac:dyDescent="0.3">
      <c r="A2" s="2" t="s">
        <v>286</v>
      </c>
    </row>
    <row r="3" spans="1:6" x14ac:dyDescent="0.3">
      <c r="A3" s="3"/>
      <c r="B3" s="3"/>
      <c r="C3" s="3"/>
      <c r="D3" s="3"/>
      <c r="E3" s="3"/>
      <c r="F3" s="3"/>
    </row>
    <row r="5" spans="1:6" ht="30" customHeight="1" x14ac:dyDescent="0.3">
      <c r="A5" s="15" t="s">
        <v>70</v>
      </c>
      <c r="B5" s="15" t="s">
        <v>59</v>
      </c>
      <c r="C5" s="15" t="s">
        <v>287</v>
      </c>
      <c r="D5" s="15" t="s">
        <v>71</v>
      </c>
      <c r="F5" s="15" t="s">
        <v>46</v>
      </c>
    </row>
    <row r="6" spans="1:6" x14ac:dyDescent="0.3">
      <c r="A6" s="8" t="s">
        <v>288</v>
      </c>
      <c r="B6" s="37">
        <f>קלט!B23</f>
        <v>3658977.4068000005</v>
      </c>
      <c r="C6" s="38">
        <f>B6/$B$14</f>
        <v>2.1367863602227088</v>
      </c>
      <c r="D6" s="17" t="s">
        <v>289</v>
      </c>
    </row>
    <row r="7" spans="1:6" x14ac:dyDescent="0.3">
      <c r="A7" s="8" t="s">
        <v>290</v>
      </c>
      <c r="B7" s="37">
        <f>קלט!B24</f>
        <v>600000</v>
      </c>
      <c r="C7" s="38">
        <f>B7/$B$14</f>
        <v>0.35039074407810444</v>
      </c>
      <c r="D7" s="17" t="s">
        <v>291</v>
      </c>
    </row>
    <row r="8" spans="1:6" x14ac:dyDescent="0.3">
      <c r="A8" s="8" t="s">
        <v>80</v>
      </c>
      <c r="B8" s="37">
        <f>קלט!B25</f>
        <v>39000</v>
      </c>
      <c r="C8" s="38">
        <f>B8/$B$14</f>
        <v>2.2775398365076787E-2</v>
      </c>
      <c r="D8" s="17" t="s">
        <v>81</v>
      </c>
    </row>
    <row r="9" spans="1:6" x14ac:dyDescent="0.3">
      <c r="A9" s="8" t="s">
        <v>292</v>
      </c>
      <c r="B9" s="37">
        <f>קלט!B26</f>
        <v>-3388595</v>
      </c>
      <c r="C9" s="38">
        <f>B9/$B$14</f>
        <v>-1.9788872057155737</v>
      </c>
      <c r="D9" s="17" t="s">
        <v>83</v>
      </c>
    </row>
    <row r="10" spans="1:6" x14ac:dyDescent="0.3">
      <c r="A10" s="4" t="s">
        <v>293</v>
      </c>
      <c r="B10" s="46">
        <f>SUM(B6:B9)</f>
        <v>909382.4068</v>
      </c>
      <c r="C10" s="66">
        <f>B10/$B$14</f>
        <v>0.53106529695031579</v>
      </c>
    </row>
    <row r="14" spans="1:6" x14ac:dyDescent="0.3">
      <c r="A14" s="4" t="s">
        <v>294</v>
      </c>
      <c r="B14" s="75">
        <f>קלט!B27</f>
        <v>1712374</v>
      </c>
    </row>
    <row r="15" spans="1:6" ht="28" customHeight="1" x14ac:dyDescent="0.3">
      <c r="A15" s="52" t="s">
        <v>295</v>
      </c>
      <c r="B15" s="76">
        <f>B14-B10</f>
        <v>802991.5932</v>
      </c>
      <c r="F15" s="22" t="s">
        <v>296</v>
      </c>
    </row>
    <row r="18" spans="1:6" x14ac:dyDescent="0.3">
      <c r="A18" s="51" t="s">
        <v>297</v>
      </c>
    </row>
    <row r="19" spans="1:6" x14ac:dyDescent="0.3">
      <c r="A19" s="8" t="s">
        <v>298</v>
      </c>
      <c r="B19" s="33">
        <f>קלט!C67</f>
        <v>0.09</v>
      </c>
    </row>
    <row r="20" spans="1:6" x14ac:dyDescent="0.3">
      <c r="A20" s="4" t="s">
        <v>299</v>
      </c>
      <c r="B20" s="68">
        <f>B15*B19/1000</f>
        <v>72.269243388000007</v>
      </c>
      <c r="C20" s="17" t="s">
        <v>300</v>
      </c>
    </row>
    <row r="21" spans="1:6" x14ac:dyDescent="0.3">
      <c r="A21" s="8" t="s">
        <v>301</v>
      </c>
      <c r="B21" s="32">
        <f>'כלכלת יחידה'!F22*2</f>
        <v>173.8</v>
      </c>
      <c r="C21" s="17" t="s">
        <v>300</v>
      </c>
    </row>
    <row r="22" spans="1:6" ht="28" customHeight="1" x14ac:dyDescent="0.3">
      <c r="A22" s="4" t="s">
        <v>302</v>
      </c>
      <c r="B22" s="77">
        <f>B20/B21</f>
        <v>0.41581843146144998</v>
      </c>
      <c r="F22" s="19" t="s">
        <v>303</v>
      </c>
    </row>
  </sheetData>
  <pageMargins left="0.75" right="0.75" top="1" bottom="1" header="0.5" footer="0.5"/>
  <pageSetup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28"/>
  <sheetViews>
    <sheetView showGridLines="0" rightToLeft="1" workbookViewId="0">
      <pane ySplit="3" topLeftCell="A4" activePane="bottomLeft" state="frozen"/>
      <selection pane="bottomLeft"/>
    </sheetView>
  </sheetViews>
  <sheetFormatPr defaultRowHeight="14" x14ac:dyDescent="0.3"/>
  <cols>
    <col min="1" max="1" width="16" customWidth="1"/>
    <col min="2" max="3" width="20" customWidth="1"/>
    <col min="4" max="4" width="18" customWidth="1"/>
    <col min="5" max="5" width="16" customWidth="1"/>
    <col min="6" max="6" width="18" customWidth="1"/>
    <col min="7" max="7" width="40" customWidth="1"/>
  </cols>
  <sheetData>
    <row r="1" spans="1:7" ht="24" customHeight="1" x14ac:dyDescent="0.3">
      <c r="A1" s="1" t="s">
        <v>304</v>
      </c>
    </row>
    <row r="2" spans="1:7" ht="16" customHeight="1" x14ac:dyDescent="0.3">
      <c r="A2" s="2" t="s">
        <v>305</v>
      </c>
    </row>
    <row r="3" spans="1:7" x14ac:dyDescent="0.3">
      <c r="A3" s="3"/>
      <c r="B3" s="3"/>
      <c r="C3" s="3"/>
      <c r="D3" s="3"/>
      <c r="E3" s="3"/>
      <c r="F3" s="3"/>
      <c r="G3" s="3"/>
    </row>
    <row r="5" spans="1:7" ht="30" customHeight="1" x14ac:dyDescent="0.3">
      <c r="A5" s="15" t="s">
        <v>120</v>
      </c>
      <c r="B5" s="15" t="s">
        <v>306</v>
      </c>
      <c r="C5" s="15" t="s">
        <v>307</v>
      </c>
      <c r="D5" s="15" t="s">
        <v>308</v>
      </c>
      <c r="E5" s="15" t="s">
        <v>309</v>
      </c>
      <c r="F5" s="15" t="s">
        <v>310</v>
      </c>
      <c r="G5" s="15" t="s">
        <v>132</v>
      </c>
    </row>
    <row r="6" spans="1:7" x14ac:dyDescent="0.3">
      <c r="A6" s="9" t="str">
        <f>קלט!A57</f>
        <v>דובי</v>
      </c>
      <c r="B6" s="37">
        <f>קלט!E57</f>
        <v>681987</v>
      </c>
      <c r="C6" s="37">
        <f>NAV!$B$10</f>
        <v>909382.4068</v>
      </c>
      <c r="D6" s="23">
        <f>B6+C6</f>
        <v>1591369.4068</v>
      </c>
      <c r="E6" s="78">
        <f>D6/קלט!$B$28*100</f>
        <v>1640.7561674399421</v>
      </c>
      <c r="F6" s="38">
        <f>D6/קלט!$B$27-1</f>
        <v>-7.066481574702721E-2</v>
      </c>
      <c r="G6" s="70" t="str">
        <f>קלט!F57</f>
        <v>הצי מזדקן, אין מותג חלופי</v>
      </c>
    </row>
    <row r="7" spans="1:7" x14ac:dyDescent="0.3">
      <c r="A7" s="73" t="str">
        <f>קלט!A58</f>
        <v>בסיס</v>
      </c>
      <c r="B7" s="37">
        <f>קלט!E58</f>
        <v>1789930</v>
      </c>
      <c r="C7" s="37">
        <f>NAV!$B$10</f>
        <v>909382.4068</v>
      </c>
      <c r="D7" s="46">
        <f>B7+C7</f>
        <v>2699312.4068</v>
      </c>
      <c r="E7" s="78">
        <f>D7/קלט!$B$28*100</f>
        <v>2783.0832114650993</v>
      </c>
      <c r="F7" s="38">
        <f>D7/קלט!$B$27-1</f>
        <v>0.5763568045298515</v>
      </c>
      <c r="G7" s="70" t="str">
        <f>קלט!F58</f>
        <v>התייצבות סביב 3% נתח</v>
      </c>
    </row>
    <row r="8" spans="1:7" x14ac:dyDescent="0.3">
      <c r="A8" s="9" t="str">
        <f>קלט!A59</f>
        <v>שורי</v>
      </c>
      <c r="B8" s="37">
        <f>קלט!E59</f>
        <v>2843938</v>
      </c>
      <c r="C8" s="37">
        <f>NAV!$B$10</f>
        <v>909382.4068</v>
      </c>
      <c r="D8" s="23">
        <f>B8+C8</f>
        <v>3753320.4068</v>
      </c>
      <c r="E8" s="78">
        <f>D8/קלט!$B$28*100</f>
        <v>3869.8014298381272</v>
      </c>
      <c r="F8" s="38">
        <f>D8/קלט!$B$27-1</f>
        <v>1.1918812168369759</v>
      </c>
      <c r="G8" s="70" t="str">
        <f>קלט!F59</f>
        <v>מותג סיני מצליח ומימון</v>
      </c>
    </row>
    <row r="10" spans="1:7" x14ac:dyDescent="0.3">
      <c r="A10" s="4" t="s">
        <v>311</v>
      </c>
      <c r="D10" s="75">
        <f>קלט!B27</f>
        <v>1712374</v>
      </c>
      <c r="E10" s="78">
        <f>קלט!B27/קלט!B28*100</f>
        <v>1765.5160325806783</v>
      </c>
      <c r="F10" s="62" t="s">
        <v>67</v>
      </c>
    </row>
    <row r="13" spans="1:7" x14ac:dyDescent="0.3">
      <c r="A13" s="51" t="s">
        <v>312</v>
      </c>
    </row>
    <row r="14" spans="1:7" ht="30" customHeight="1" x14ac:dyDescent="0.3">
      <c r="A14" s="8" t="s">
        <v>313</v>
      </c>
      <c r="B14" s="71">
        <f>קלט!B27/D6-1</f>
        <v>7.6038029060343515E-2</v>
      </c>
      <c r="D14" s="60" t="str">
        <f>IF(AND(קלט!B27&gt;D6,קלט!B27&lt;D7),"השוק מתמחר כמעט במדויק את התרחיש הדובי — ומתחת לכל תרחיש אחר.","המחיר יצא מהטווח שבין הדובי לבסיס — בדוק מחדש.")</f>
        <v>השוק מתמחר כמעט במדויק את התרחיש הדובי — ומתחת לכל תרחיש אחר.</v>
      </c>
    </row>
    <row r="15" spans="1:7" x14ac:dyDescent="0.3">
      <c r="A15" s="8" t="s">
        <v>314</v>
      </c>
      <c r="B15" s="72">
        <f>D7/קלט!B27-1</f>
        <v>0.5763568045298515</v>
      </c>
    </row>
    <row r="16" spans="1:7" x14ac:dyDescent="0.3">
      <c r="A16" s="8" t="s">
        <v>315</v>
      </c>
      <c r="B16" s="38">
        <f>D8/קלט!B27-1</f>
        <v>1.1918812168369759</v>
      </c>
    </row>
    <row r="18" spans="1:6" x14ac:dyDescent="0.3">
      <c r="A18" s="51" t="s">
        <v>316</v>
      </c>
    </row>
    <row r="19" spans="1:6" ht="30" customHeight="1" x14ac:dyDescent="0.3">
      <c r="A19" s="15" t="s">
        <v>120</v>
      </c>
      <c r="B19" s="15" t="s">
        <v>317</v>
      </c>
      <c r="C19" s="15" t="s">
        <v>318</v>
      </c>
      <c r="D19" s="15" t="s">
        <v>319</v>
      </c>
      <c r="F19" s="40" t="s">
        <v>320</v>
      </c>
    </row>
    <row r="20" spans="1:6" x14ac:dyDescent="0.3">
      <c r="A20" s="8" t="s">
        <v>124</v>
      </c>
      <c r="B20" s="79">
        <f>E6</f>
        <v>1640.7561674399421</v>
      </c>
      <c r="C20" s="27">
        <v>0.7</v>
      </c>
      <c r="D20" s="79">
        <f>B20*C20</f>
        <v>1148.5293172079594</v>
      </c>
    </row>
    <row r="21" spans="1:6" x14ac:dyDescent="0.3">
      <c r="A21" s="8" t="s">
        <v>126</v>
      </c>
      <c r="B21" s="79">
        <f>E7</f>
        <v>2783.0832114650993</v>
      </c>
      <c r="C21" s="27">
        <v>0.2</v>
      </c>
      <c r="D21" s="79">
        <f>B21*C21</f>
        <v>556.61664229301994</v>
      </c>
    </row>
    <row r="22" spans="1:6" x14ac:dyDescent="0.3">
      <c r="A22" s="8" t="s">
        <v>128</v>
      </c>
      <c r="B22" s="79">
        <f>E8</f>
        <v>3869.8014298381272</v>
      </c>
      <c r="C22" s="27">
        <v>0.1</v>
      </c>
      <c r="D22" s="79">
        <f>B22*C22</f>
        <v>386.98014298381275</v>
      </c>
    </row>
    <row r="23" spans="1:6" x14ac:dyDescent="0.3">
      <c r="A23" s="4" t="s">
        <v>321</v>
      </c>
      <c r="D23" s="80">
        <f>SUM(D20:D22)</f>
        <v>2092.1261024847918</v>
      </c>
    </row>
    <row r="24" spans="1:6" ht="15.5" x14ac:dyDescent="0.3">
      <c r="A24" s="52" t="s">
        <v>322</v>
      </c>
      <c r="B24" s="81">
        <v>2100</v>
      </c>
    </row>
    <row r="25" spans="1:6" x14ac:dyDescent="0.3">
      <c r="A25" s="4" t="s">
        <v>323</v>
      </c>
      <c r="B25" s="82">
        <f>B24/E10-1</f>
        <v>0.18945393938473742</v>
      </c>
    </row>
    <row r="26" spans="1:6" x14ac:dyDescent="0.3">
      <c r="A26" s="8" t="s">
        <v>324</v>
      </c>
      <c r="B26" s="38">
        <f>B24/DCF!B47-1</f>
        <v>-0.2747486767340418</v>
      </c>
    </row>
    <row r="28" spans="1:6" ht="39" x14ac:dyDescent="0.3">
      <c r="A28" s="83" t="str">
        <f>IF(B25&lt;0.25,"עודף התשואה אינו מצדיק את הסיכון המבני — HOLD.","עודף התשואה מצדיק פוזיציה — BUY.")</f>
        <v>עודף התשואה אינו מצדיק את הסיכון המבני — HOLD.</v>
      </c>
    </row>
  </sheetData>
  <pageMargins left="0.75" right="0.75" top="1" bottom="1" header="0.5" footer="0.5"/>
  <pageSetup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80"/>
  <sheetViews>
    <sheetView showGridLines="0" rightToLeft="1" workbookViewId="0">
      <pane ySplit="3" topLeftCell="A4" activePane="bottomLeft" state="frozen"/>
      <selection pane="bottomLeft"/>
    </sheetView>
  </sheetViews>
  <sheetFormatPr defaultRowHeight="14" x14ac:dyDescent="0.3"/>
  <cols>
    <col min="1" max="1" width="32" customWidth="1"/>
    <col min="2" max="4" width="14" customWidth="1"/>
    <col min="5" max="6" width="16" customWidth="1"/>
    <col min="7" max="7" width="38" customWidth="1"/>
  </cols>
  <sheetData>
    <row r="1" spans="1:7" ht="24" customHeight="1" x14ac:dyDescent="0.3">
      <c r="A1" s="1" t="s">
        <v>325</v>
      </c>
    </row>
    <row r="2" spans="1:7" ht="16" customHeight="1" x14ac:dyDescent="0.3">
      <c r="A2" s="2" t="s">
        <v>326</v>
      </c>
    </row>
    <row r="3" spans="1:7" x14ac:dyDescent="0.3">
      <c r="A3" s="3"/>
      <c r="B3" s="3"/>
      <c r="C3" s="3"/>
      <c r="D3" s="3"/>
      <c r="E3" s="3"/>
      <c r="F3" s="3"/>
      <c r="G3" s="3"/>
    </row>
    <row r="5" spans="1:7" x14ac:dyDescent="0.3">
      <c r="A5" s="4" t="s">
        <v>327</v>
      </c>
      <c r="B5" s="75">
        <f>תרחישים!D7/1000</f>
        <v>2699.3124068000002</v>
      </c>
      <c r="C5" s="17" t="s">
        <v>328</v>
      </c>
    </row>
    <row r="7" spans="1:7" ht="30" customHeight="1" x14ac:dyDescent="0.3">
      <c r="A7" s="15" t="s">
        <v>132</v>
      </c>
      <c r="B7" s="15" t="s">
        <v>133</v>
      </c>
      <c r="C7" s="15" t="s">
        <v>134</v>
      </c>
      <c r="D7" s="15" t="s">
        <v>135</v>
      </c>
      <c r="E7" s="15" t="s">
        <v>329</v>
      </c>
      <c r="F7" s="15" t="s">
        <v>330</v>
      </c>
      <c r="G7" s="15" t="s">
        <v>331</v>
      </c>
    </row>
    <row r="8" spans="1:7" x14ac:dyDescent="0.3">
      <c r="A8" s="8" t="s">
        <v>189</v>
      </c>
      <c r="B8" s="37">
        <f>קלט!B65</f>
        <v>3700</v>
      </c>
      <c r="C8" s="37">
        <f>קלט!C65</f>
        <v>3389</v>
      </c>
      <c r="D8" s="37">
        <f>קלט!D65</f>
        <v>3100</v>
      </c>
      <c r="E8" s="45">
        <f>$B$5+($C$8-B8)</f>
        <v>2388.3124068000002</v>
      </c>
      <c r="F8" s="45">
        <f>$B$5+($C$8-D8)</f>
        <v>2988.3124068000002</v>
      </c>
      <c r="G8" s="17" t="s">
        <v>332</v>
      </c>
    </row>
    <row r="9" spans="1:7" x14ac:dyDescent="0.3">
      <c r="A9" s="8" t="s">
        <v>333</v>
      </c>
      <c r="B9" s="37">
        <f>קלט!B66</f>
        <v>450</v>
      </c>
      <c r="C9" s="37">
        <f>קלט!C66</f>
        <v>600</v>
      </c>
      <c r="D9" s="37">
        <f>קלט!D66</f>
        <v>750</v>
      </c>
      <c r="E9" s="45">
        <f>$B$5+(B9-$C$9)</f>
        <v>2549.3124068000002</v>
      </c>
      <c r="F9" s="45">
        <f>$B$5+(D9-$C$9)</f>
        <v>2849.3124068000002</v>
      </c>
      <c r="G9" s="17" t="s">
        <v>334</v>
      </c>
    </row>
    <row r="10" spans="1:7" x14ac:dyDescent="0.3">
      <c r="A10" s="8" t="s">
        <v>140</v>
      </c>
      <c r="B10" s="33">
        <f>קלט!B67</f>
        <v>0.11</v>
      </c>
      <c r="C10" s="33">
        <f>קלט!C67</f>
        <v>0.09</v>
      </c>
      <c r="D10" s="33">
        <f>קלט!D67</f>
        <v>0.08</v>
      </c>
      <c r="E10" s="45">
        <f>$B$5+קלט!B68</f>
        <v>2317.3124068000002</v>
      </c>
      <c r="F10" s="45">
        <f>$B$5+קלט!D68</f>
        <v>2979.3124068000002</v>
      </c>
      <c r="G10" s="17" t="s">
        <v>335</v>
      </c>
    </row>
    <row r="12" spans="1:7" x14ac:dyDescent="0.3">
      <c r="A12" s="51" t="s">
        <v>336</v>
      </c>
    </row>
    <row r="13" spans="1:7" x14ac:dyDescent="0.3">
      <c r="A13" s="8" t="s">
        <v>337</v>
      </c>
      <c r="B13" s="45">
        <f>SUM(E8:E10)-3*$B$5</f>
        <v>-843</v>
      </c>
      <c r="G13" s="17" t="s">
        <v>338</v>
      </c>
    </row>
    <row r="14" spans="1:7" x14ac:dyDescent="0.3">
      <c r="A14" s="8" t="s">
        <v>339</v>
      </c>
      <c r="B14" s="45">
        <f>SUM(F8:F10)-3*$B$5</f>
        <v>719</v>
      </c>
    </row>
    <row r="15" spans="1:7" ht="15.5" x14ac:dyDescent="0.3">
      <c r="A15" s="52" t="s">
        <v>340</v>
      </c>
      <c r="B15" s="76">
        <f>$B$5+B13</f>
        <v>1856.3124068000002</v>
      </c>
    </row>
    <row r="16" spans="1:7" x14ac:dyDescent="0.3">
      <c r="A16" s="4" t="s">
        <v>341</v>
      </c>
      <c r="B16" s="23">
        <f>$B$5+B14</f>
        <v>3418.3124068000002</v>
      </c>
    </row>
    <row r="17" spans="1:6" x14ac:dyDescent="0.3">
      <c r="A17" s="4" t="s">
        <v>342</v>
      </c>
      <c r="B17" s="82">
        <f>B15/(קלט!B27/1000)-1</f>
        <v>8.4057809100114955E-2</v>
      </c>
    </row>
    <row r="22" spans="1:6" ht="26" customHeight="1" x14ac:dyDescent="0.3">
      <c r="A22" s="60" t="str">
        <f>IF(B15&gt;קלט!B27/1000,"גם ברצפה המשולבת שווי ההון נשאר מעל מחיר השוק — המסקנה מחזיקה.","הרצפה המשולבת יורדת מתחת למחיר השוק.")</f>
        <v>גם ברצפה המשולבת שווי ההון נשאר מעל מחיר השוק — המסקנה מחזיקה.</v>
      </c>
    </row>
    <row r="25" spans="1:6" x14ac:dyDescent="0.3">
      <c r="A25" s="52" t="s">
        <v>343</v>
      </c>
    </row>
    <row r="26" spans="1:6" ht="16" customHeight="1" x14ac:dyDescent="0.3">
      <c r="A26" s="7" t="s">
        <v>344</v>
      </c>
    </row>
    <row r="27" spans="1:6" ht="30" customHeight="1" x14ac:dyDescent="0.3">
      <c r="A27" s="15" t="s">
        <v>345</v>
      </c>
      <c r="B27" s="15" t="s">
        <v>346</v>
      </c>
      <c r="C27" s="15" t="s">
        <v>347</v>
      </c>
      <c r="D27" s="15" t="s">
        <v>317</v>
      </c>
      <c r="E27" s="15" t="s">
        <v>310</v>
      </c>
      <c r="F27" s="15" t="s">
        <v>240</v>
      </c>
    </row>
    <row r="28" spans="1:6" x14ac:dyDescent="0.3">
      <c r="A28" s="84">
        <v>-0.3</v>
      </c>
      <c r="B28" s="45">
        <f>קלט!$B$23/1000*(1+A28)</f>
        <v>2561.2841847600002</v>
      </c>
      <c r="C28" s="45">
        <f>$B$5+(קלט!$B$23/1000)*A28</f>
        <v>1601.6191847600001</v>
      </c>
      <c r="D28" s="79">
        <f>C28*1000/קלט!$B$28*100</f>
        <v>1651.3240383132281</v>
      </c>
      <c r="E28" s="38">
        <f>C28/(קלט!$B$27/1000)-1</f>
        <v>-6.4679103536960936E-2</v>
      </c>
      <c r="F28" s="56" t="str">
        <f>IF(E28&gt;0,"עדיין מעל המחיר","מתחת למחיר")</f>
        <v>מתחת למחיר</v>
      </c>
    </row>
    <row r="29" spans="1:6" x14ac:dyDescent="0.3">
      <c r="A29" s="84">
        <v>-0.2</v>
      </c>
      <c r="B29" s="45">
        <f>קלט!$B$23/1000*(1+A29)</f>
        <v>2927.1819254400007</v>
      </c>
      <c r="C29" s="45">
        <f>$B$5+(קלט!$B$23/1000)*A29</f>
        <v>1967.51692544</v>
      </c>
      <c r="D29" s="79">
        <f>C29*1000/קלט!$B$28*100</f>
        <v>2028.5770960305185</v>
      </c>
      <c r="E29" s="38">
        <f>C29/(קלט!$B$27/1000)-1</f>
        <v>0.14899953248530995</v>
      </c>
      <c r="F29" s="56" t="str">
        <f>IF(E29&gt;0,"עדיין מעל המחיר","מתחת למחיר")</f>
        <v>עדיין מעל המחיר</v>
      </c>
    </row>
    <row r="30" spans="1:6" x14ac:dyDescent="0.3">
      <c r="A30" s="84">
        <v>-0.1</v>
      </c>
      <c r="B30" s="45">
        <f>קלט!$B$23/1000*(1+A30)</f>
        <v>3293.0796661200006</v>
      </c>
      <c r="C30" s="45">
        <f>$B$5+(קלט!$B$23/1000)*A30</f>
        <v>2333.4146661200002</v>
      </c>
      <c r="D30" s="79">
        <f>C30*1000/קלט!$B$28*100</f>
        <v>2405.8301537478096</v>
      </c>
      <c r="E30" s="38">
        <f>C30/(קלט!$B$27/1000)-1</f>
        <v>0.36267816850758083</v>
      </c>
      <c r="F30" s="56" t="str">
        <f>IF(E30&gt;0,"עדיין מעל המחיר","מתחת למחיר")</f>
        <v>עדיין מעל המחיר</v>
      </c>
    </row>
    <row r="31" spans="1:6" x14ac:dyDescent="0.3">
      <c r="A31" s="85">
        <v>0</v>
      </c>
      <c r="B31" s="45">
        <f>קלט!$B$23/1000*(1+A31)</f>
        <v>3658.9774068000006</v>
      </c>
      <c r="C31" s="46">
        <f>$B$5+(קלט!$B$23/1000)*A31</f>
        <v>2699.3124068000002</v>
      </c>
      <c r="D31" s="79">
        <f>C31*1000/קלט!$B$28*100</f>
        <v>2783.0832114650993</v>
      </c>
      <c r="E31" s="38">
        <f>C31/(קלט!$B$27/1000)-1</f>
        <v>0.57635680452985172</v>
      </c>
      <c r="F31" s="56" t="str">
        <f>IF(E31&gt;0,"עדיין מעל המחיר","מתחת למחיר")</f>
        <v>עדיין מעל המחיר</v>
      </c>
    </row>
    <row r="32" spans="1:6" x14ac:dyDescent="0.3">
      <c r="A32" s="84">
        <v>0.1</v>
      </c>
      <c r="B32" s="45">
        <f>קלט!$B$23/1000*(1+A32)</f>
        <v>4024.875147480001</v>
      </c>
      <c r="C32" s="45">
        <f>$B$5+(קלט!$B$23/1000)*A32</f>
        <v>3065.2101474800002</v>
      </c>
      <c r="D32" s="79">
        <f>C32*1000/קלט!$B$28*100</f>
        <v>3160.3362691823904</v>
      </c>
      <c r="E32" s="38">
        <f>C32/(קלט!$B$27/1000)-1</f>
        <v>0.79003544055212238</v>
      </c>
      <c r="F32" s="56" t="str">
        <f>IF(E32&gt;0,"עדיין מעל המחיר","מתחת למחיר")</f>
        <v>עדיין מעל המחיר</v>
      </c>
    </row>
    <row r="34" spans="1:5" ht="26" customHeight="1" x14ac:dyDescent="0.3">
      <c r="A34" s="4" t="s">
        <v>348</v>
      </c>
      <c r="B34" s="77">
        <f>($B$5-קלט!B27/1000)/(קלט!B23/1000)</f>
        <v>0.26973066435606613</v>
      </c>
      <c r="D34" s="22" t="str">
        <f>IF(B35&lt;0.1,"ברצפה המשולבת די בירידה חד־ספרתית בוורידיס כדי למחוק את כל הכרית. זהו הסיכון הממשי ביותר בתזה.","הכרית עמידה לירידה דו־ספרתית.")</f>
        <v>ברצפה המשולבת די בירידה חד־ספרתית בוורידיס כדי למחוק את כל הכרית. זהו הסיכון הממשי ביותר בתזה.</v>
      </c>
    </row>
    <row r="35" spans="1:5" x14ac:dyDescent="0.3">
      <c r="A35" s="4" t="s">
        <v>349</v>
      </c>
      <c r="B35" s="77">
        <f>($B$15-קלט!B27/1000)/(קלט!B23/1000)</f>
        <v>3.9338424591662924E-2</v>
      </c>
    </row>
    <row r="38" spans="1:5" x14ac:dyDescent="0.3">
      <c r="A38" s="51" t="s">
        <v>350</v>
      </c>
    </row>
    <row r="39" spans="1:5" x14ac:dyDescent="0.3">
      <c r="A39" s="8" t="s">
        <v>351</v>
      </c>
      <c r="B39" s="67">
        <f>-קלט!B9/1000</f>
        <v>271.25599999999997</v>
      </c>
    </row>
    <row r="40" spans="1:5" x14ac:dyDescent="0.3">
      <c r="A40" s="8" t="s">
        <v>352</v>
      </c>
      <c r="B40" s="67">
        <f>-קלט!B8/1000</f>
        <v>5.9290000000000003</v>
      </c>
    </row>
    <row r="41" spans="1:5" x14ac:dyDescent="0.3">
      <c r="A41" s="4" t="s">
        <v>353</v>
      </c>
      <c r="B41" s="68">
        <f>B39+B40</f>
        <v>277.18499999999995</v>
      </c>
    </row>
    <row r="42" spans="1:5" x14ac:dyDescent="0.3">
      <c r="A42" s="8" t="s">
        <v>354</v>
      </c>
      <c r="B42" s="67">
        <f>'כיסוי ריבית'!B10/1000</f>
        <v>215.72499999999999</v>
      </c>
    </row>
    <row r="43" spans="1:5" x14ac:dyDescent="0.3">
      <c r="A43" s="4" t="s">
        <v>355</v>
      </c>
      <c r="B43" s="69">
        <f>B41-B42</f>
        <v>61.459999999999951</v>
      </c>
    </row>
    <row r="45" spans="1:5" ht="30" customHeight="1" x14ac:dyDescent="0.3">
      <c r="A45" s="15" t="s">
        <v>121</v>
      </c>
      <c r="B45" s="15" t="s">
        <v>356</v>
      </c>
      <c r="C45" s="15" t="s">
        <v>357</v>
      </c>
      <c r="D45" s="15" t="s">
        <v>358</v>
      </c>
      <c r="E45" s="15" t="s">
        <v>359</v>
      </c>
    </row>
    <row r="46" spans="1:5" x14ac:dyDescent="0.3">
      <c r="A46" s="86">
        <v>12</v>
      </c>
      <c r="B46" s="45">
        <f>$B$43/A46*1000</f>
        <v>5121.6666666666624</v>
      </c>
      <c r="C46" s="45">
        <f>B46+קלט!B52</f>
        <v>9421.6666666666624</v>
      </c>
      <c r="D46" s="38">
        <f>C46/קלט!B52-1</f>
        <v>1.1910852713178284</v>
      </c>
      <c r="E46" s="45">
        <f>C46*2</f>
        <v>18843.333333333325</v>
      </c>
    </row>
    <row r="47" spans="1:5" x14ac:dyDescent="0.3">
      <c r="A47" s="86">
        <v>14</v>
      </c>
      <c r="B47" s="45">
        <f>$B$43/A47*1000</f>
        <v>4389.9999999999964</v>
      </c>
      <c r="C47" s="45">
        <f>B47+קלט!B52</f>
        <v>8689.9999999999964</v>
      </c>
      <c r="D47" s="38">
        <f>C47/קלט!B52-1</f>
        <v>1.0209302325581389</v>
      </c>
      <c r="E47" s="45">
        <f>C47*2</f>
        <v>17379.999999999993</v>
      </c>
    </row>
    <row r="48" spans="1:5" x14ac:dyDescent="0.3">
      <c r="A48" s="87">
        <v>16.5</v>
      </c>
      <c r="B48" s="45">
        <f>$B$43/A48*1000</f>
        <v>3724.8484848484818</v>
      </c>
      <c r="C48" s="48">
        <f>B48+קלט!B52</f>
        <v>8024.8484848484823</v>
      </c>
      <c r="D48" s="38">
        <f>C48/קלט!B52-1</f>
        <v>0.86624383368569347</v>
      </c>
      <c r="E48" s="45">
        <f>C48*2</f>
        <v>16049.696969696965</v>
      </c>
    </row>
    <row r="49" spans="1:5" x14ac:dyDescent="0.3">
      <c r="A49" s="86">
        <v>18</v>
      </c>
      <c r="B49" s="45">
        <f>$B$43/A49*1000</f>
        <v>3414.4444444444416</v>
      </c>
      <c r="C49" s="45">
        <f>B49+קלט!B52</f>
        <v>7714.4444444444416</v>
      </c>
      <c r="D49" s="38">
        <f>C49/קלט!B52-1</f>
        <v>0.79405684754521899</v>
      </c>
      <c r="E49" s="45">
        <f>C49*2</f>
        <v>15428.888888888883</v>
      </c>
    </row>
    <row r="50" spans="1:5" x14ac:dyDescent="0.3">
      <c r="A50" s="86">
        <v>20</v>
      </c>
      <c r="B50" s="45">
        <f>$B$43/A50*1000</f>
        <v>3072.9999999999977</v>
      </c>
      <c r="C50" s="45">
        <f>B50+קלט!B52</f>
        <v>7372.9999999999982</v>
      </c>
      <c r="D50" s="38">
        <f>C50/קלט!B52-1</f>
        <v>0.71465116279069729</v>
      </c>
      <c r="E50" s="45">
        <f>C50*2</f>
        <v>14745.999999999996</v>
      </c>
    </row>
    <row r="54" spans="1:5" x14ac:dyDescent="0.3">
      <c r="A54" s="52" t="s">
        <v>360</v>
      </c>
    </row>
    <row r="55" spans="1:5" ht="16" customHeight="1" x14ac:dyDescent="0.3">
      <c r="A55" s="7" t="s">
        <v>361</v>
      </c>
    </row>
    <row r="56" spans="1:5" x14ac:dyDescent="0.3">
      <c r="A56" s="8" t="s">
        <v>362</v>
      </c>
      <c r="B56" s="67">
        <f>'כיסוי ריבית'!B12/1000*2</f>
        <v>419.59199999999998</v>
      </c>
    </row>
    <row r="57" spans="1:5" x14ac:dyDescent="0.3">
      <c r="A57" s="8" t="s">
        <v>363</v>
      </c>
      <c r="B57" s="67">
        <f>'כיסוי ריבית'!B13/1000*2</f>
        <v>542.51199999999994</v>
      </c>
    </row>
    <row r="58" spans="1:5" x14ac:dyDescent="0.3">
      <c r="A58" s="4" t="s">
        <v>364</v>
      </c>
      <c r="B58" s="69">
        <f>B57-B56</f>
        <v>122.91999999999996</v>
      </c>
    </row>
    <row r="59" spans="1:5" x14ac:dyDescent="0.3">
      <c r="A59" s="8" t="s">
        <v>56</v>
      </c>
      <c r="B59" s="45">
        <f>קלט!B13/1000</f>
        <v>4589</v>
      </c>
    </row>
    <row r="60" spans="1:5" x14ac:dyDescent="0.3">
      <c r="A60" s="8" t="s">
        <v>365</v>
      </c>
      <c r="B60" s="38">
        <f>B57/B59</f>
        <v>0.11822009152320766</v>
      </c>
    </row>
    <row r="62" spans="1:5" x14ac:dyDescent="0.3">
      <c r="A62" s="88" t="s">
        <v>366</v>
      </c>
    </row>
    <row r="63" spans="1:5" ht="30" customHeight="1" x14ac:dyDescent="0.3">
      <c r="A63" s="15" t="s">
        <v>44</v>
      </c>
      <c r="B63" s="15" t="s">
        <v>367</v>
      </c>
      <c r="C63" s="15" t="s">
        <v>368</v>
      </c>
      <c r="D63" s="15" t="s">
        <v>46</v>
      </c>
    </row>
    <row r="64" spans="1:5" x14ac:dyDescent="0.3">
      <c r="A64" s="8" t="s">
        <v>369</v>
      </c>
      <c r="B64" s="45">
        <f>קלט!B24/1000</f>
        <v>600</v>
      </c>
      <c r="C64" s="89">
        <f>B64/$B$58</f>
        <v>4.881223560039051</v>
      </c>
      <c r="D64" s="17" t="s">
        <v>370</v>
      </c>
    </row>
    <row r="65" spans="1:5" x14ac:dyDescent="0.3">
      <c r="A65" s="8" t="s">
        <v>371</v>
      </c>
      <c r="B65" s="45">
        <f>קלט!B23/1000*0.1</f>
        <v>365.89774068000008</v>
      </c>
      <c r="C65" s="89">
        <f>B65/$B$58</f>
        <v>2.9767144539537926</v>
      </c>
      <c r="D65" s="17" t="s">
        <v>372</v>
      </c>
    </row>
    <row r="66" spans="1:5" x14ac:dyDescent="0.3">
      <c r="A66" s="4" t="s">
        <v>373</v>
      </c>
      <c r="B66" s="23">
        <f>B64+B65</f>
        <v>965.89774068000008</v>
      </c>
      <c r="C66" s="90">
        <f>B66/$B$58</f>
        <v>7.8579380139928441</v>
      </c>
      <c r="D66" s="17" t="s">
        <v>374</v>
      </c>
    </row>
    <row r="69" spans="1:5" x14ac:dyDescent="0.3">
      <c r="A69" s="11" t="s">
        <v>375</v>
      </c>
    </row>
    <row r="70" spans="1:5" ht="30" customHeight="1" x14ac:dyDescent="0.3">
      <c r="A70" s="15" t="s">
        <v>376</v>
      </c>
      <c r="B70" s="15" t="s">
        <v>377</v>
      </c>
      <c r="C70" s="15" t="s">
        <v>378</v>
      </c>
      <c r="D70" s="15" t="s">
        <v>238</v>
      </c>
      <c r="E70" s="15" t="s">
        <v>240</v>
      </c>
    </row>
    <row r="71" spans="1:5" x14ac:dyDescent="0.3">
      <c r="A71" s="91">
        <v>0</v>
      </c>
      <c r="B71" s="45">
        <f>$B$59</f>
        <v>4589</v>
      </c>
      <c r="C71" s="67">
        <f>$B$57</f>
        <v>542.51199999999994</v>
      </c>
      <c r="D71" s="92">
        <f>'כיסוי ריבית'!$B$12/1000*2/C71</f>
        <v>0.77342436664995429</v>
      </c>
      <c r="E71" s="56" t="str">
        <f t="shared" ref="E71:E76" si="0">IF(D71&lt;0.6,"מתחת לסף השבירה","מעל סף השבירה")</f>
        <v>מעל סף השבירה</v>
      </c>
    </row>
    <row r="72" spans="1:5" x14ac:dyDescent="0.3">
      <c r="A72" s="91">
        <v>1</v>
      </c>
      <c r="B72" s="45">
        <f>B71+$B$58</f>
        <v>4711.92</v>
      </c>
      <c r="C72" s="67">
        <f>B72*$B$60</f>
        <v>557.04361365003263</v>
      </c>
      <c r="D72" s="92">
        <f>'כיסוי ריבית'!$B$12/1000*2/C72</f>
        <v>0.7532480217314047</v>
      </c>
      <c r="E72" s="56" t="str">
        <f t="shared" si="0"/>
        <v>מעל סף השבירה</v>
      </c>
    </row>
    <row r="73" spans="1:5" x14ac:dyDescent="0.3">
      <c r="A73" s="91">
        <v>2</v>
      </c>
      <c r="B73" s="45">
        <f>B72+$B$58</f>
        <v>4834.84</v>
      </c>
      <c r="C73" s="67">
        <f>B73*$B$60</f>
        <v>571.57522730006531</v>
      </c>
      <c r="D73" s="92">
        <f>'כיסוי ריבית'!$B$12/1000*2/C73</f>
        <v>0.73409759548540188</v>
      </c>
      <c r="E73" s="56" t="str">
        <f t="shared" si="0"/>
        <v>מעל סף השבירה</v>
      </c>
    </row>
    <row r="74" spans="1:5" x14ac:dyDescent="0.3">
      <c r="A74" s="91">
        <v>3</v>
      </c>
      <c r="B74" s="45">
        <f>B73+$B$58</f>
        <v>4957.76</v>
      </c>
      <c r="C74" s="67">
        <f>B74*$B$60</f>
        <v>586.10684095009799</v>
      </c>
      <c r="D74" s="92">
        <f>'כיסוי ריבית'!$B$12/1000*2/C74</f>
        <v>0.71589677970628685</v>
      </c>
      <c r="E74" s="56" t="str">
        <f t="shared" si="0"/>
        <v>מעל סף השבירה</v>
      </c>
    </row>
    <row r="75" spans="1:5" x14ac:dyDescent="0.3">
      <c r="A75" s="91">
        <v>4</v>
      </c>
      <c r="B75" s="45">
        <f>B74+$B$58</f>
        <v>5080.68</v>
      </c>
      <c r="C75" s="67">
        <f>B75*$B$60</f>
        <v>600.63845460013067</v>
      </c>
      <c r="D75" s="92">
        <f>'כיסוי ריבית'!$B$12/1000*2/C75</f>
        <v>0.69857665087284393</v>
      </c>
      <c r="E75" s="56" t="str">
        <f t="shared" si="0"/>
        <v>מעל סף השבירה</v>
      </c>
    </row>
    <row r="76" spans="1:5" x14ac:dyDescent="0.3">
      <c r="A76" s="91">
        <v>5</v>
      </c>
      <c r="B76" s="45">
        <f>B75+$B$58</f>
        <v>5203.6000000000004</v>
      </c>
      <c r="C76" s="67">
        <f>B76*$B$60</f>
        <v>615.17006825016335</v>
      </c>
      <c r="D76" s="92">
        <f>'כיסוי ריבית'!$B$12/1000*2/C76</f>
        <v>0.68207479793924219</v>
      </c>
      <c r="E76" s="56" t="str">
        <f t="shared" si="0"/>
        <v>מעל סף השבירה</v>
      </c>
    </row>
    <row r="78" spans="1:5" ht="16" customHeight="1" x14ac:dyDescent="0.3">
      <c r="A78" s="83" t="str">
        <f>"בלי מימוש נכסים הכיסוי יורד מ‑"&amp;TEXT(D71,"0.00")&amp;"x ל‑"&amp;TEXT(D76,"0.00")&amp;"x בתוך חמש שנים. סף השבירה שהוגדר בתמצית הוא 0.60x."</f>
        <v>בלי מימוש נכסים הכיסוי יורד מ‑0.77x ל‑0.68x בתוך חמש שנים. סף השבירה שהוגדר בתמצית הוא 0.60x.</v>
      </c>
    </row>
    <row r="80" spans="1:5" ht="28" customHeight="1" x14ac:dyDescent="0.3">
      <c r="A80" s="40" t="s">
        <v>379</v>
      </c>
    </row>
  </sheetData>
  <pageMargins left="0.75" right="0.75" top="1" bottom="1" header="0.5" footer="0.5"/>
  <pageSetup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70"/>
  <sheetViews>
    <sheetView showGridLines="0" rightToLeft="1" workbookViewId="0">
      <pane ySplit="3" topLeftCell="A4" activePane="bottomLeft" state="frozen"/>
      <selection pane="bottomLeft"/>
    </sheetView>
  </sheetViews>
  <sheetFormatPr defaultRowHeight="14" x14ac:dyDescent="0.3"/>
  <cols>
    <col min="1" max="1" width="34" customWidth="1"/>
    <col min="2" max="6" width="13" customWidth="1"/>
    <col min="7" max="7" width="42" customWidth="1"/>
  </cols>
  <sheetData>
    <row r="1" spans="1:7" ht="24" customHeight="1" x14ac:dyDescent="0.3">
      <c r="A1" s="1" t="s">
        <v>380</v>
      </c>
    </row>
    <row r="2" spans="1:7" ht="16" customHeight="1" x14ac:dyDescent="0.3">
      <c r="A2" s="2" t="s">
        <v>381</v>
      </c>
    </row>
    <row r="3" spans="1:7" x14ac:dyDescent="0.3">
      <c r="A3" s="3"/>
      <c r="B3" s="3"/>
      <c r="C3" s="3"/>
      <c r="D3" s="3"/>
      <c r="E3" s="3"/>
      <c r="F3" s="3"/>
      <c r="G3" s="3"/>
    </row>
    <row r="5" spans="1:7" x14ac:dyDescent="0.3">
      <c r="A5" s="51" t="s">
        <v>382</v>
      </c>
    </row>
    <row r="6" spans="1:7" x14ac:dyDescent="0.3">
      <c r="A6" s="8" t="s">
        <v>164</v>
      </c>
      <c r="B6" s="33">
        <f>קלט!B94</f>
        <v>4.4999999999999998E-2</v>
      </c>
    </row>
    <row r="7" spans="1:7" x14ac:dyDescent="0.3">
      <c r="A7" s="8" t="s">
        <v>166</v>
      </c>
      <c r="B7" s="33">
        <f>קלט!B95</f>
        <v>0.06</v>
      </c>
    </row>
    <row r="8" spans="1:7" x14ac:dyDescent="0.3">
      <c r="A8" s="8" t="s">
        <v>168</v>
      </c>
      <c r="B8" s="93">
        <f>קלט!B96</f>
        <v>1.1000000000000001</v>
      </c>
    </row>
    <row r="9" spans="1:7" x14ac:dyDescent="0.3">
      <c r="A9" s="4" t="s">
        <v>383</v>
      </c>
      <c r="B9" s="82">
        <f>B6+B8*B7</f>
        <v>0.111</v>
      </c>
    </row>
    <row r="10" spans="1:7" x14ac:dyDescent="0.3">
      <c r="A10" s="8" t="s">
        <v>170</v>
      </c>
      <c r="B10" s="33">
        <f>קלט!B97</f>
        <v>6.5000000000000002E-2</v>
      </c>
    </row>
    <row r="11" spans="1:7" x14ac:dyDescent="0.3">
      <c r="A11" s="8" t="s">
        <v>172</v>
      </c>
      <c r="B11" s="33">
        <f>קלט!B98</f>
        <v>0.23</v>
      </c>
    </row>
    <row r="12" spans="1:7" x14ac:dyDescent="0.3">
      <c r="A12" s="8" t="s">
        <v>384</v>
      </c>
      <c r="B12" s="82">
        <f>B10*(1-B11)</f>
        <v>5.0050000000000004E-2</v>
      </c>
    </row>
    <row r="13" spans="1:7" x14ac:dyDescent="0.3">
      <c r="A13" s="8" t="s">
        <v>385</v>
      </c>
      <c r="B13" s="33">
        <f>קלט!B99</f>
        <v>0.35</v>
      </c>
    </row>
    <row r="14" spans="1:7" x14ac:dyDescent="0.3">
      <c r="A14" s="8" t="s">
        <v>386</v>
      </c>
      <c r="B14" s="82">
        <f>1-B13</f>
        <v>0.65</v>
      </c>
    </row>
    <row r="16" spans="1:7" ht="15.5" x14ac:dyDescent="0.3">
      <c r="A16" s="52" t="s">
        <v>387</v>
      </c>
      <c r="B16" s="94">
        <f>B14*B9+B13*B12</f>
        <v>8.9667500000000011E-2</v>
      </c>
      <c r="G16" s="17" t="s">
        <v>388</v>
      </c>
    </row>
    <row r="19" spans="1:7" x14ac:dyDescent="0.3">
      <c r="A19" s="51" t="s">
        <v>389</v>
      </c>
    </row>
    <row r="20" spans="1:7" ht="30" customHeight="1" x14ac:dyDescent="0.3">
      <c r="A20" s="15" t="s">
        <v>41</v>
      </c>
      <c r="B20" s="15" t="s">
        <v>390</v>
      </c>
      <c r="C20" s="15" t="s">
        <v>391</v>
      </c>
      <c r="D20" s="15" t="s">
        <v>392</v>
      </c>
      <c r="E20" s="15" t="s">
        <v>393</v>
      </c>
      <c r="F20" s="15" t="s">
        <v>394</v>
      </c>
    </row>
    <row r="21" spans="1:7" x14ac:dyDescent="0.3">
      <c r="A21" s="8" t="s">
        <v>265</v>
      </c>
      <c r="B21" s="32">
        <f>(מגזרים!B6+מגזרים!B7)*2</f>
        <v>3581.8</v>
      </c>
      <c r="C21" s="67">
        <f>B21*(1+קלט!$B$101)</f>
        <v>3689.2540000000004</v>
      </c>
      <c r="D21" s="67">
        <f>C21*(1+קלט!$B$101)</f>
        <v>3799.9316200000003</v>
      </c>
      <c r="E21" s="67">
        <f>D21*(1+קלט!$B$101)</f>
        <v>3913.9295686000005</v>
      </c>
      <c r="F21" s="67">
        <f>E21*(1+קלט!$B$101)</f>
        <v>4031.3474556580004</v>
      </c>
      <c r="G21" s="17" t="s">
        <v>395</v>
      </c>
    </row>
    <row r="22" spans="1:7" x14ac:dyDescent="0.3">
      <c r="A22" s="4" t="s">
        <v>396</v>
      </c>
      <c r="B22" s="95">
        <f>'כלכלת יחידה'!F22*2</f>
        <v>173.8</v>
      </c>
      <c r="C22" s="68">
        <f>$B$22+($F$22-$B$22)/4*1</f>
        <v>184.85000000000002</v>
      </c>
      <c r="D22" s="68">
        <f>$B$22+($F$22-$B$22)/4*2</f>
        <v>195.9</v>
      </c>
      <c r="E22" s="68">
        <f>$B$22+($F$22-$B$22)/4*3</f>
        <v>206.95</v>
      </c>
      <c r="F22" s="95">
        <f>'כלכלת יחידה'!F19</f>
        <v>218</v>
      </c>
      <c r="G22" s="17" t="s">
        <v>397</v>
      </c>
    </row>
    <row r="23" spans="1:7" x14ac:dyDescent="0.3">
      <c r="A23" s="8" t="s">
        <v>398</v>
      </c>
      <c r="B23" s="38">
        <f>B22/B21</f>
        <v>4.8523088949690103E-2</v>
      </c>
      <c r="C23" s="38">
        <f>C22/C21</f>
        <v>5.0104980573308318E-2</v>
      </c>
      <c r="D23" s="38">
        <f>D22/D21</f>
        <v>5.1553559271679733E-2</v>
      </c>
      <c r="E23" s="38">
        <f>E22/E21</f>
        <v>5.2875248870159236E-2</v>
      </c>
      <c r="F23" s="38">
        <f>F22/F21</f>
        <v>5.4076212084879158E-2</v>
      </c>
    </row>
    <row r="24" spans="1:7" x14ac:dyDescent="0.3">
      <c r="A24" s="8" t="s">
        <v>399</v>
      </c>
      <c r="B24" s="67">
        <f>-B22*קלט!$B$98</f>
        <v>-39.974000000000004</v>
      </c>
      <c r="C24" s="67">
        <f>-C22*קלט!$B$98</f>
        <v>-42.51550000000001</v>
      </c>
      <c r="D24" s="67">
        <f>-D22*קלט!$B$98</f>
        <v>-45.057000000000002</v>
      </c>
      <c r="E24" s="67">
        <f>-E22*קלט!$B$98</f>
        <v>-47.598500000000001</v>
      </c>
      <c r="F24" s="67">
        <f>-F22*קלט!$B$98</f>
        <v>-50.14</v>
      </c>
    </row>
    <row r="25" spans="1:7" x14ac:dyDescent="0.3">
      <c r="A25" s="4" t="s">
        <v>400</v>
      </c>
      <c r="B25" s="65">
        <f>B22+B24</f>
        <v>133.82600000000002</v>
      </c>
      <c r="C25" s="65">
        <f>C22+C24</f>
        <v>142.33450000000002</v>
      </c>
      <c r="D25" s="65">
        <f>D22+D24</f>
        <v>150.84300000000002</v>
      </c>
      <c r="E25" s="65">
        <f>E22+E24</f>
        <v>159.35149999999999</v>
      </c>
      <c r="F25" s="65">
        <f>F22+F24</f>
        <v>167.86</v>
      </c>
    </row>
    <row r="26" spans="1:7" x14ac:dyDescent="0.3">
      <c r="A26" s="8" t="s">
        <v>401</v>
      </c>
      <c r="B26" s="67">
        <f>B21*קלט!$B$102</f>
        <v>39.399799999999999</v>
      </c>
      <c r="C26" s="67">
        <f>C21*קלט!$B$102</f>
        <v>40.581794000000002</v>
      </c>
      <c r="D26" s="67">
        <f>D21*קלט!$B$102</f>
        <v>41.799247819999998</v>
      </c>
      <c r="E26" s="67">
        <f>E21*קלט!$B$102</f>
        <v>43.053225254600001</v>
      </c>
      <c r="F26" s="67">
        <f>F21*קלט!$B$102</f>
        <v>44.344822012238005</v>
      </c>
    </row>
    <row r="27" spans="1:7" x14ac:dyDescent="0.3">
      <c r="A27" s="8" t="s">
        <v>402</v>
      </c>
      <c r="B27" s="67">
        <f>-B21*קלט!$B$103</f>
        <v>-42.9816</v>
      </c>
      <c r="C27" s="67">
        <f>-C21*קלט!$B$103</f>
        <v>-44.271048000000008</v>
      </c>
      <c r="D27" s="67">
        <f>-D21*קלט!$B$103</f>
        <v>-45.599179440000007</v>
      </c>
      <c r="E27" s="67">
        <f>-E21*קלט!$B$103</f>
        <v>-46.967154823200005</v>
      </c>
      <c r="F27" s="67">
        <f>-F21*קלט!$B$103</f>
        <v>-48.376169467896005</v>
      </c>
    </row>
    <row r="28" spans="1:7" x14ac:dyDescent="0.3">
      <c r="A28" s="8" t="s">
        <v>403</v>
      </c>
      <c r="B28" s="67">
        <f>-(B21-B21/(1+קלט!$B$101))*קלט!$B$104</f>
        <v>-8.3459417475728337</v>
      </c>
      <c r="C28" s="67">
        <f>-(C21-B21)*קלט!$B$104</f>
        <v>-8.5963200000000146</v>
      </c>
      <c r="D28" s="67">
        <f>-(D21-C21)*קלט!$B$104</f>
        <v>-8.8542095999999955</v>
      </c>
      <c r="E28" s="67">
        <f>-(E21-D21)*קלט!$B$104</f>
        <v>-9.1198358880000168</v>
      </c>
      <c r="F28" s="67">
        <f>-(F21-E21)*קלט!$B$104</f>
        <v>-9.3934309646399932</v>
      </c>
    </row>
    <row r="29" spans="1:7" x14ac:dyDescent="0.3">
      <c r="A29" s="52" t="s">
        <v>404</v>
      </c>
      <c r="B29" s="96">
        <f>SUM(B25:B28)</f>
        <v>121.8982582524272</v>
      </c>
      <c r="C29" s="96">
        <f>SUM(C25:C28)</f>
        <v>130.04892599999999</v>
      </c>
      <c r="D29" s="96">
        <f>SUM(D25:D28)</f>
        <v>138.18885878000003</v>
      </c>
      <c r="E29" s="96">
        <f>SUM(E25:E28)</f>
        <v>146.31773454339998</v>
      </c>
      <c r="F29" s="96">
        <f>SUM(F25:F28)</f>
        <v>154.43522157970202</v>
      </c>
    </row>
    <row r="31" spans="1:7" x14ac:dyDescent="0.3">
      <c r="A31" s="51" t="s">
        <v>405</v>
      </c>
    </row>
    <row r="32" spans="1:7" x14ac:dyDescent="0.3">
      <c r="A32" s="8" t="s">
        <v>406</v>
      </c>
      <c r="B32" s="97">
        <v>1</v>
      </c>
      <c r="C32" s="97">
        <v>2</v>
      </c>
      <c r="D32" s="97">
        <v>3</v>
      </c>
      <c r="E32" s="97">
        <v>4</v>
      </c>
      <c r="F32" s="97">
        <v>5</v>
      </c>
    </row>
    <row r="33" spans="1:7" x14ac:dyDescent="0.3">
      <c r="A33" s="8" t="s">
        <v>407</v>
      </c>
      <c r="B33" s="98">
        <f>1/(1+$B$16)^B32</f>
        <v>0.91771113665407111</v>
      </c>
      <c r="C33" s="98">
        <f>1/(1+$B$16)^C32</f>
        <v>0.8421937303389071</v>
      </c>
      <c r="D33" s="98">
        <f>1/(1+$B$16)^D32</f>
        <v>0.77289056555225077</v>
      </c>
      <c r="E33" s="98">
        <f>1/(1+$B$16)^E32</f>
        <v>0.70929027942216383</v>
      </c>
      <c r="F33" s="98">
        <f>1/(1+$B$16)^F32</f>
        <v>0.6509235885461977</v>
      </c>
    </row>
    <row r="34" spans="1:7" x14ac:dyDescent="0.3">
      <c r="A34" s="4" t="s">
        <v>408</v>
      </c>
      <c r="B34" s="68">
        <f>B29*B33</f>
        <v>111.86738913698647</v>
      </c>
      <c r="C34" s="68">
        <f>C29*C33</f>
        <v>109.52639011450847</v>
      </c>
      <c r="D34" s="68">
        <f>D29*D33</f>
        <v>106.80486521549435</v>
      </c>
      <c r="E34" s="68">
        <f>E29*E33</f>
        <v>103.78174681870617</v>
      </c>
      <c r="F34" s="68">
        <f>F29*F33</f>
        <v>100.52552862858683</v>
      </c>
    </row>
    <row r="36" spans="1:7" x14ac:dyDescent="0.3">
      <c r="A36" s="8" t="s">
        <v>409</v>
      </c>
      <c r="B36" s="67">
        <f>SUM(B34:F34)</f>
        <v>532.50591991428234</v>
      </c>
    </row>
    <row r="37" spans="1:7" x14ac:dyDescent="0.3">
      <c r="A37" s="8" t="s">
        <v>410</v>
      </c>
      <c r="B37" s="67">
        <f>F29*(1+קלט!B100)/($B$16-קלט!B100)</f>
        <v>2099.3303633226974</v>
      </c>
      <c r="G37" s="17" t="s">
        <v>411</v>
      </c>
    </row>
    <row r="38" spans="1:7" x14ac:dyDescent="0.3">
      <c r="A38" s="8" t="s">
        <v>412</v>
      </c>
      <c r="B38" s="67">
        <f>B37*F33</f>
        <v>1366.5036536380032</v>
      </c>
    </row>
    <row r="39" spans="1:7" ht="15.5" x14ac:dyDescent="0.3">
      <c r="A39" s="99" t="s">
        <v>413</v>
      </c>
      <c r="B39" s="100">
        <f>B36+B38</f>
        <v>1899.0095735522855</v>
      </c>
    </row>
    <row r="40" spans="1:7" ht="23" x14ac:dyDescent="0.3">
      <c r="A40" s="8" t="s">
        <v>414</v>
      </c>
      <c r="B40" s="38">
        <f>B38/B39</f>
        <v>0.71958755378037553</v>
      </c>
      <c r="G40" s="40" t="s">
        <v>415</v>
      </c>
    </row>
    <row r="43" spans="1:7" x14ac:dyDescent="0.3">
      <c r="A43" s="51" t="s">
        <v>416</v>
      </c>
    </row>
    <row r="44" spans="1:7" x14ac:dyDescent="0.3">
      <c r="A44" s="8" t="s">
        <v>417</v>
      </c>
      <c r="B44" s="45">
        <f>B39*1000</f>
        <v>1899009.5735522856</v>
      </c>
    </row>
    <row r="45" spans="1:7" x14ac:dyDescent="0.3">
      <c r="A45" s="8" t="s">
        <v>418</v>
      </c>
      <c r="B45" s="37">
        <f>NAV!B10</f>
        <v>909382.4068</v>
      </c>
    </row>
    <row r="46" spans="1:7" x14ac:dyDescent="0.3">
      <c r="A46" s="4" t="s">
        <v>308</v>
      </c>
      <c r="B46" s="23">
        <f>B44+B45</f>
        <v>2808391.9803522853</v>
      </c>
    </row>
    <row r="47" spans="1:7" x14ac:dyDescent="0.3">
      <c r="A47" s="4" t="s">
        <v>309</v>
      </c>
      <c r="B47" s="101">
        <f>B46/קלט!B28*100</f>
        <v>2895.5479743811584</v>
      </c>
    </row>
    <row r="48" spans="1:7" x14ac:dyDescent="0.3">
      <c r="A48" s="8" t="s">
        <v>311</v>
      </c>
      <c r="B48" s="102">
        <f>קלט!B27/קלט!B28*100</f>
        <v>1765.5160325806783</v>
      </c>
    </row>
    <row r="49" spans="1:7" x14ac:dyDescent="0.3">
      <c r="A49" s="4" t="s">
        <v>419</v>
      </c>
      <c r="B49" s="82">
        <f>B47/B48-1</f>
        <v>0.64005759276436436</v>
      </c>
    </row>
    <row r="51" spans="1:7" x14ac:dyDescent="0.3">
      <c r="A51" s="51" t="s">
        <v>420</v>
      </c>
    </row>
    <row r="52" spans="1:7" ht="16" customHeight="1" x14ac:dyDescent="0.3">
      <c r="A52" s="7" t="s">
        <v>421</v>
      </c>
    </row>
    <row r="53" spans="1:7" x14ac:dyDescent="0.3">
      <c r="A53" s="8" t="s">
        <v>422</v>
      </c>
      <c r="B53" s="67">
        <f>NAV!B15/1000</f>
        <v>802.99159320000001</v>
      </c>
      <c r="G53" s="17" t="s">
        <v>423</v>
      </c>
    </row>
    <row r="54" spans="1:7" x14ac:dyDescent="0.3">
      <c r="A54" s="8" t="s">
        <v>424</v>
      </c>
      <c r="B54" s="67">
        <f>B53*($B$16-קלט!B100)</f>
        <v>59.95737478526101</v>
      </c>
      <c r="G54" s="17" t="s">
        <v>425</v>
      </c>
    </row>
    <row r="55" spans="1:7" x14ac:dyDescent="0.3">
      <c r="A55" s="8" t="s">
        <v>426</v>
      </c>
      <c r="B55" s="67">
        <f>B54/(1-קלט!B98)</f>
        <v>77.866720500338971</v>
      </c>
      <c r="G55" s="17" t="s">
        <v>427</v>
      </c>
    </row>
    <row r="56" spans="1:7" x14ac:dyDescent="0.3">
      <c r="A56" s="8" t="s">
        <v>428</v>
      </c>
      <c r="B56" s="67">
        <f>B22</f>
        <v>173.8</v>
      </c>
      <c r="G56" s="17" t="s">
        <v>429</v>
      </c>
    </row>
    <row r="57" spans="1:7" x14ac:dyDescent="0.3">
      <c r="A57" s="4" t="s">
        <v>430</v>
      </c>
      <c r="B57" s="77">
        <f>B55/B56-1</f>
        <v>-0.55197514096467803</v>
      </c>
    </row>
    <row r="59" spans="1:7" ht="30" customHeight="1" x14ac:dyDescent="0.3">
      <c r="A59" s="60" t="str">
        <f>IF(B57&lt;-0.3,"המחיר מגלם קריסה קבועה של יותר מ‑30% ברווח התפעולי של פעילות הרכב, לצמיתות. זו הנחה קיצונית יותר מתרחיש הדובי.","המחיר מגלם ירידה מתונה ברווח או צמיחה בו.")</f>
        <v>המחיר מגלם קריסה קבועה של יותר מ‑30% ברווח התפעולי של פעילות הרכב, לצמיתות. זו הנחה קיצונית יותר מתרחיש הדובי.</v>
      </c>
    </row>
    <row r="62" spans="1:7" x14ac:dyDescent="0.3">
      <c r="A62" s="51" t="s">
        <v>431</v>
      </c>
    </row>
    <row r="63" spans="1:7" x14ac:dyDescent="0.3">
      <c r="A63" s="103" t="s">
        <v>432</v>
      </c>
      <c r="B63" s="104">
        <v>5.0000000000000001E-3</v>
      </c>
      <c r="C63" s="104">
        <v>0.01</v>
      </c>
      <c r="D63" s="104">
        <v>1.4999999999999999E-2</v>
      </c>
      <c r="E63" s="104">
        <v>0.02</v>
      </c>
      <c r="F63" s="104">
        <v>2.5000000000000001E-2</v>
      </c>
    </row>
    <row r="64" spans="1:7" x14ac:dyDescent="0.3">
      <c r="A64" s="104">
        <v>0.08</v>
      </c>
      <c r="B64" s="79">
        <f>((NPV($A64,$B$29:$F$29)+$F$29*(1+B$63)/($A64-B$63)/(1+$A64)^5)*1000+NAV!$B$10)/קלט!$B$28*100</f>
        <v>2953.4183668721826</v>
      </c>
      <c r="C64" s="79">
        <f>((NPV($A64,$B$29:$F$29)+$F$29*(1+C$63)/($A64-C$63)/(1+$A64)^5)*1000+NAV!$B$10)/קלט!$B$28*100</f>
        <v>3064.8824826468244</v>
      </c>
      <c r="D64" s="79">
        <f>((NPV($A64,$B$29:$F$29)+$F$29*(1+D$63)/($A64-D$63)/(1+$A64)^5)*1000+NAV!$B$10)/קלט!$B$28*100</f>
        <v>3193.4949239252564</v>
      </c>
      <c r="E64" s="79">
        <f>((NPV($A64,$B$29:$F$29)+$F$29*(1+E$63)/($A64-E$63)/(1+$A64)^5)*1000+NAV!$B$10)/קלט!$B$28*100</f>
        <v>3343.5427720834277</v>
      </c>
      <c r="F64" s="79">
        <f>((NPV($A64,$B$29:$F$29)+$F$29*(1+F$63)/($A64-F$63)/(1+$A64)^5)*1000+NAV!$B$10)/קלט!$B$28*100</f>
        <v>3520.8720471794486</v>
      </c>
    </row>
    <row r="65" spans="1:6" x14ac:dyDescent="0.3">
      <c r="A65" s="104">
        <v>8.5000000000000006E-2</v>
      </c>
      <c r="B65" s="79">
        <f>((NPV($A65,$B$29:$F$29)+$F$29*(1+B$63)/($A65-B$63)/(1+$A65)^5)*1000+NAV!$B$10)/קלט!$B$28*100</f>
        <v>2823.926308738311</v>
      </c>
      <c r="C65" s="79">
        <f>((NPV($A65,$B$29:$F$29)+$F$29*(1+C$63)/($A65-C$63)/(1+$A65)^5)*1000+NAV!$B$10)/קלט!$B$28*100</f>
        <v>2919.6719908336618</v>
      </c>
      <c r="D65" s="79">
        <f>((NPV($A65,$B$29:$F$29)+$F$29*(1+D$63)/($A65-D$63)/(1+$A65)^5)*1000+NAV!$B$10)/קלט!$B$28*100</f>
        <v>3029.0956275140625</v>
      </c>
      <c r="E65" s="79">
        <f>((NPV($A65,$B$29:$F$29)+$F$29*(1+E$63)/($A65-E$63)/(1+$A65)^5)*1000+NAV!$B$10)/קלט!$B$28*100</f>
        <v>3155.3536698376015</v>
      </c>
      <c r="F65" s="79">
        <f>((NPV($A65,$B$29:$F$29)+$F$29*(1+F$63)/($A65-F$63)/(1+$A65)^5)*1000+NAV!$B$10)/קלט!$B$28*100</f>
        <v>3302.6547192150624</v>
      </c>
    </row>
    <row r="66" spans="1:6" x14ac:dyDescent="0.3">
      <c r="A66" s="104">
        <v>0.09</v>
      </c>
      <c r="B66" s="79">
        <f>((NPV($A66,$B$29:$F$29)+$F$29*(1+B$63)/($A66-B$63)/(1+$A66)^5)*1000+NAV!$B$10)/קלט!$B$28*100</f>
        <v>2709.7274846547866</v>
      </c>
      <c r="C66" s="79">
        <f>((NPV($A66,$B$29:$F$29)+$F$29*(1+C$63)/($A66-C$63)/(1+$A66)^5)*1000+NAV!$B$10)/קלט!$B$28*100</f>
        <v>2792.6694832564472</v>
      </c>
      <c r="D66" s="79">
        <f>((NPV($A66,$B$29:$F$29)+$F$29*(1+D$63)/($A66-D$63)/(1+$A66)^5)*1000+NAV!$B$10)/קלט!$B$28*100</f>
        <v>2886.670415004995</v>
      </c>
      <c r="E66" s="79">
        <f>((NPV($A66,$B$29:$F$29)+$F$29*(1+E$63)/($A66-E$63)/(1+$A66)^5)*1000+NAV!$B$10)/קלט!$B$28*100</f>
        <v>2994.100051289051</v>
      </c>
      <c r="F66" s="79">
        <f>((NPV($A66,$B$29:$F$29)+$F$29*(1+F$63)/($A66-F$63)/(1+$A66)^5)*1000+NAV!$B$10)/קלט!$B$28*100</f>
        <v>3118.0573239245</v>
      </c>
    </row>
    <row r="67" spans="1:6" x14ac:dyDescent="0.3">
      <c r="A67" s="104">
        <v>9.5000000000000001E-2</v>
      </c>
      <c r="B67" s="79">
        <f>((NPV($A67,$B$29:$F$29)+$F$29*(1+B$63)/($A67-B$63)/(1+$A67)^5)*1000+NAV!$B$10)/קלט!$B$28*100</f>
        <v>2608.2717146884856</v>
      </c>
      <c r="C67" s="79">
        <f>((NPV($A67,$B$29:$F$29)+$F$29*(1+C$63)/($A67-C$63)/(1+$A67)^5)*1000+NAV!$B$10)/קלט!$B$28*100</f>
        <v>2680.6605332509353</v>
      </c>
      <c r="D67" s="79">
        <f>((NPV($A67,$B$29:$F$29)+$F$29*(1+D$63)/($A67-D$63)/(1+$A67)^5)*1000+NAV!$B$10)/קלט!$B$28*100</f>
        <v>2762.0979541336901</v>
      </c>
      <c r="E67" s="79">
        <f>((NPV($A67,$B$29:$F$29)+$F$29*(1+E$63)/($A67-E$63)/(1+$A67)^5)*1000+NAV!$B$10)/קלט!$B$28*100</f>
        <v>2854.3936978008123</v>
      </c>
      <c r="F67" s="79">
        <f>((NPV($A67,$B$29:$F$29)+$F$29*(1+F$63)/($A67-F$63)/(1+$A67)^5)*1000+NAV!$B$10)/קלט!$B$28*100</f>
        <v>2959.8745477060943</v>
      </c>
    </row>
    <row r="68" spans="1:6" x14ac:dyDescent="0.3">
      <c r="A68" s="104">
        <v>0.1</v>
      </c>
      <c r="B68" s="79">
        <f>((NPV($A68,$B$29:$F$29)+$F$29*(1+B$63)/($A68-B$63)/(1+$A68)^5)*1000+NAV!$B$10)/קלט!$B$28*100</f>
        <v>2517.5457343891048</v>
      </c>
      <c r="C68" s="79">
        <f>((NPV($A68,$B$29:$F$29)+$F$29*(1+C$63)/($A68-C$63)/(1+$A68)^5)*1000+NAV!$B$10)/קלט!$B$28*100</f>
        <v>2581.1450650738402</v>
      </c>
      <c r="D68" s="79">
        <f>((NPV($A68,$B$29:$F$29)+$F$29*(1+D$63)/($A68-D$63)/(1+$A68)^5)*1000+NAV!$B$10)/קלט!$B$28*100</f>
        <v>2652.2266699567786</v>
      </c>
      <c r="E68" s="79">
        <f>((NPV($A68,$B$29:$F$29)+$F$29*(1+E$63)/($A68-E$63)/(1+$A68)^5)*1000+NAV!$B$10)/קלט!$B$28*100</f>
        <v>2732.1934754500853</v>
      </c>
      <c r="F68" s="79">
        <f>((NPV($A68,$B$29:$F$29)+$F$29*(1+F$63)/($A68-F$63)/(1+$A68)^5)*1000+NAV!$B$10)/קלט!$B$28*100</f>
        <v>2822.8225216758319</v>
      </c>
    </row>
    <row r="70" spans="1:6" x14ac:dyDescent="0.3">
      <c r="A70" s="88" t="str">
        <f>"מחיר השוק: "&amp;TEXT(קלט!B27/קלט!B28*100,"#,##0")&amp;" אג׳. כל תא בטבלה שמעליו הוא תרחיש שבו המניה זולה."</f>
        <v>מחיר השוק: 1,766 אג׳. כל תא בטבלה שמעליו הוא תרחיש שבו המניה זולה.</v>
      </c>
    </row>
  </sheetData>
  <pageMargins left="0.75" right="0.75" top="1" bottom="1" header="0.5" footer="0.5"/>
  <pageSetup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L34"/>
  <sheetViews>
    <sheetView showGridLines="0" rightToLeft="1" workbookViewId="0">
      <pane ySplit="3" topLeftCell="A4" activePane="bottomLeft" state="frozen"/>
      <selection pane="bottomLeft"/>
    </sheetView>
  </sheetViews>
  <sheetFormatPr defaultRowHeight="14" x14ac:dyDescent="0.3"/>
  <cols>
    <col min="1" max="1" width="22" customWidth="1"/>
    <col min="2" max="2" width="13" customWidth="1"/>
    <col min="3" max="3" width="14" customWidth="1"/>
    <col min="4" max="7" width="13" customWidth="1"/>
    <col min="8" max="9" width="11" customWidth="1"/>
    <col min="10" max="11" width="12" customWidth="1"/>
    <col min="12" max="12" width="11" customWidth="1"/>
  </cols>
  <sheetData>
    <row r="1" spans="1:12" ht="24" customHeight="1" x14ac:dyDescent="0.3">
      <c r="A1" s="1" t="s">
        <v>433</v>
      </c>
    </row>
    <row r="2" spans="1:12" ht="16" customHeight="1" x14ac:dyDescent="0.3">
      <c r="A2" s="2" t="s">
        <v>434</v>
      </c>
    </row>
    <row r="3" spans="1:12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5" spans="1:12" ht="30" customHeight="1" x14ac:dyDescent="0.3">
      <c r="A5" s="15" t="s">
        <v>187</v>
      </c>
      <c r="B5" s="15" t="s">
        <v>188</v>
      </c>
      <c r="C5" s="15" t="s">
        <v>189</v>
      </c>
      <c r="D5" s="15" t="s">
        <v>435</v>
      </c>
      <c r="E5" s="15" t="s">
        <v>265</v>
      </c>
      <c r="F5" s="15" t="s">
        <v>396</v>
      </c>
      <c r="G5" s="15" t="s">
        <v>436</v>
      </c>
      <c r="H5" s="15" t="s">
        <v>437</v>
      </c>
      <c r="I5" s="15" t="s">
        <v>438</v>
      </c>
      <c r="J5" s="15" t="s">
        <v>439</v>
      </c>
      <c r="K5" s="15" t="s">
        <v>440</v>
      </c>
      <c r="L5" s="15" t="s">
        <v>441</v>
      </c>
    </row>
    <row r="6" spans="1:12" x14ac:dyDescent="0.3">
      <c r="A6" s="105" t="str">
        <f>קלט!A109</f>
        <v>דלק מערכות רכב</v>
      </c>
      <c r="B6" s="106">
        <f>קלט!B109</f>
        <v>1712.374</v>
      </c>
      <c r="C6" s="106">
        <f>קלט!C109</f>
        <v>4589</v>
      </c>
      <c r="D6" s="43">
        <f>IF(OR(NOT(ISNUMBER(B6)),NOT(ISNUMBER(C6))),"—",B6+C6)</f>
        <v>6301.3739999999998</v>
      </c>
      <c r="E6" s="106">
        <f>קלט!D109</f>
        <v>6524</v>
      </c>
      <c r="F6" s="106">
        <f>קלט!E109</f>
        <v>419.59199999999998</v>
      </c>
      <c r="G6" s="106">
        <f>קלט!F109</f>
        <v>-156.81</v>
      </c>
      <c r="H6" s="44">
        <f>IF(E6=0,"",F6/E6)</f>
        <v>6.4315144083384429E-2</v>
      </c>
      <c r="I6" s="107">
        <f>קלט!G109</f>
        <v>5.174915363533783E-2</v>
      </c>
      <c r="J6" s="108">
        <f>IF(OR(NOT(ISNUMBER(B6)),NOT(ISNUMBER(E6)),E6=0),"—",B6/E6)</f>
        <v>0.26247302268546902</v>
      </c>
      <c r="K6" s="109" t="str">
        <f>IF(NOT(ISNUMBER(B6)),"—",IF(G6&lt;=0,"שלילי",B6/G6))</f>
        <v>שלילי</v>
      </c>
      <c r="L6" s="109">
        <f>IF(OR(NOT(ISNUMBER(C6)),NOT(ISNUMBER(F6)),F6=0),"—",D6/F6)</f>
        <v>15.017860207058286</v>
      </c>
    </row>
    <row r="7" spans="1:12" x14ac:dyDescent="0.3">
      <c r="A7" s="9" t="str">
        <f>קלט!A110</f>
        <v>קרסו מוטורס</v>
      </c>
      <c r="B7" s="37">
        <f>קלט!B110</f>
        <v>2562</v>
      </c>
      <c r="C7" s="37">
        <f>קלט!C110</f>
        <v>7755</v>
      </c>
      <c r="D7" s="45">
        <f>IF(OR(NOT(ISNUMBER(B7)),NOT(ISNUMBER(C7))),"—",B7+C7)</f>
        <v>10317</v>
      </c>
      <c r="E7" s="37">
        <f>קלט!D110</f>
        <v>9400</v>
      </c>
      <c r="F7" s="37">
        <f>קלט!E110</f>
        <v>696.2</v>
      </c>
      <c r="G7" s="37">
        <f>קלט!F110</f>
        <v>300</v>
      </c>
      <c r="H7" s="38">
        <f>IF(E7=0,"",F7/E7)</f>
        <v>7.4063829787234053E-2</v>
      </c>
      <c r="I7" s="33">
        <f>קלט!G110</f>
        <v>0.15</v>
      </c>
      <c r="J7" s="55">
        <f>IF(OR(NOT(ISNUMBER(B7)),NOT(ISNUMBER(E7)),E7=0),"—",B7/E7)</f>
        <v>0.27255319148936169</v>
      </c>
      <c r="K7" s="110">
        <f>IF(NOT(ISNUMBER(B7)),"—",IF(G7&lt;=0,"שלילי",B7/G7))</f>
        <v>8.5399999999999991</v>
      </c>
      <c r="L7" s="110">
        <f>IF(OR(NOT(ISNUMBER(C7)),NOT(ISNUMBER(F7)),F7=0),"—",D7/F7)</f>
        <v>14.819017523700085</v>
      </c>
    </row>
    <row r="8" spans="1:12" x14ac:dyDescent="0.3">
      <c r="A8" s="9" t="str">
        <f>קלט!A111</f>
        <v>יוניברסל מוטורס</v>
      </c>
      <c r="B8" s="37">
        <f>קלט!B111</f>
        <v>3591</v>
      </c>
      <c r="C8" s="37">
        <f>קלט!C111</f>
        <v>4672</v>
      </c>
      <c r="D8" s="45">
        <f>IF(OR(NOT(ISNUMBER(B8)),NOT(ISNUMBER(C8))),"—",B8+C8)</f>
        <v>8263</v>
      </c>
      <c r="E8" s="37">
        <f>קלט!D111</f>
        <v>5350</v>
      </c>
      <c r="F8" s="37">
        <f>קלט!E111</f>
        <v>418</v>
      </c>
      <c r="G8" s="37">
        <f>קלט!F111</f>
        <v>238</v>
      </c>
      <c r="H8" s="38">
        <f>IF(E8=0,"",F8/E8)</f>
        <v>7.813084112149532E-2</v>
      </c>
      <c r="I8" s="33" t="str">
        <f>קלט!G111</f>
        <v>—</v>
      </c>
      <c r="J8" s="55">
        <f>IF(OR(NOT(ISNUMBER(B8)),NOT(ISNUMBER(E8)),E8=0),"—",B8/E8)</f>
        <v>0.67121495327102809</v>
      </c>
      <c r="K8" s="110">
        <f>IF(NOT(ISNUMBER(B8)),"—",IF(G8&lt;=0,"שלילי",B8/G8))</f>
        <v>15.088235294117647</v>
      </c>
      <c r="L8" s="110">
        <f>IF(OR(NOT(ISNUMBER(C8)),NOT(ISNUMBER(F8)),F8=0),"—",D8/F8)</f>
        <v>19.767942583732058</v>
      </c>
    </row>
    <row r="9" spans="1:12" x14ac:dyDescent="0.3">
      <c r="A9" s="9" t="str">
        <f>קלט!A112</f>
        <v>ש. שלמה החזקות — פרטית</v>
      </c>
      <c r="B9" s="37" t="str">
        <f>קלט!B112</f>
        <v>—</v>
      </c>
      <c r="C9" s="37" t="str">
        <f>קלט!C112</f>
        <v>—</v>
      </c>
      <c r="D9" s="45" t="str">
        <f>IF(OR(NOT(ISNUMBER(B9)),NOT(ISNUMBER(C9))),"—",B9+C9)</f>
        <v>—</v>
      </c>
      <c r="E9" s="37">
        <f>קלט!D112</f>
        <v>7000</v>
      </c>
      <c r="F9" s="37">
        <f>קלט!E112</f>
        <v>826</v>
      </c>
      <c r="G9" s="37">
        <f>קלט!F112</f>
        <v>452</v>
      </c>
      <c r="H9" s="38">
        <f>IF(E9=0,"",F9/E9)</f>
        <v>0.11799999999999999</v>
      </c>
      <c r="I9" s="33">
        <f>קלט!G112</f>
        <v>0.18</v>
      </c>
      <c r="J9" s="55" t="str">
        <f>IF(OR(NOT(ISNUMBER(B9)),NOT(ISNUMBER(E9)),E9=0),"—",B9/E9)</f>
        <v>—</v>
      </c>
      <c r="K9" s="110" t="str">
        <f>IF(NOT(ISNUMBER(B9)),"—",IF(G9&lt;=0,"שלילי",B9/G9))</f>
        <v>—</v>
      </c>
      <c r="L9" s="110" t="str">
        <f>IF(OR(NOT(ISNUMBER(C9)),NOT(ISNUMBER(F9)),F9=0),"—",D9/F9)</f>
        <v>—</v>
      </c>
    </row>
    <row r="11" spans="1:12" x14ac:dyDescent="0.3">
      <c r="A11" s="4" t="s">
        <v>442</v>
      </c>
      <c r="H11" s="66">
        <f>IF(COUNT(H7:H9)=0,"—",MEDIAN(H7:H9))</f>
        <v>7.813084112149532E-2</v>
      </c>
      <c r="I11" s="66">
        <f>IF(COUNT(I7:I9)=0,"—",MEDIAN(I7:I9))</f>
        <v>0.16499999999999998</v>
      </c>
      <c r="J11" s="111">
        <f>IF(COUNT(J7:J9)=0,"—",MEDIAN(J7:J9))</f>
        <v>0.47188407238019492</v>
      </c>
      <c r="K11" s="112">
        <f>IF(COUNT(K7:K9)=0,"—",MEDIAN(K7:K9))</f>
        <v>11.814117647058822</v>
      </c>
    </row>
    <row r="14" spans="1:12" x14ac:dyDescent="0.3">
      <c r="A14" s="51" t="s">
        <v>443</v>
      </c>
    </row>
    <row r="15" spans="1:12" x14ac:dyDescent="0.3">
      <c r="A15" s="8" t="s">
        <v>444</v>
      </c>
      <c r="B15" s="45">
        <f>IF(J11="—","—",J11*E6)</f>
        <v>3078.5716882083916</v>
      </c>
    </row>
    <row r="16" spans="1:12" x14ac:dyDescent="0.3">
      <c r="A16" s="8" t="s">
        <v>445</v>
      </c>
      <c r="B16" s="45" t="str">
        <f>IF(K11="—","—","רווח שלילי — לא ישים")</f>
        <v>רווח שלילי — לא ישים</v>
      </c>
    </row>
    <row r="17" spans="1:6" x14ac:dyDescent="0.3">
      <c r="A17" s="8" t="s">
        <v>446</v>
      </c>
      <c r="B17" s="45">
        <f>B15</f>
        <v>3078.5716882083916</v>
      </c>
    </row>
    <row r="18" spans="1:6" x14ac:dyDescent="0.3">
      <c r="A18" s="8" t="s">
        <v>447</v>
      </c>
      <c r="B18" s="45">
        <v>0</v>
      </c>
    </row>
    <row r="19" spans="1:6" x14ac:dyDescent="0.3">
      <c r="A19" s="4" t="s">
        <v>448</v>
      </c>
      <c r="B19" s="23">
        <f>IF(B17="—","—",B17+B18)</f>
        <v>3078.5716882083916</v>
      </c>
    </row>
    <row r="20" spans="1:6" x14ac:dyDescent="0.3">
      <c r="A20" s="4" t="s">
        <v>309</v>
      </c>
      <c r="B20" s="113">
        <f>IF(B19="—","—",B19*1000/קלט!B28*100)</f>
        <v>3174.1124736657298</v>
      </c>
    </row>
    <row r="21" spans="1:6" x14ac:dyDescent="0.3">
      <c r="A21" s="4" t="s">
        <v>310</v>
      </c>
      <c r="B21" s="82">
        <f>IF(B20="—","—",B20/(קלט!B27/קלט!B28*100)-1)</f>
        <v>0.79783837421520754</v>
      </c>
    </row>
    <row r="23" spans="1:6" ht="30" customHeight="1" x14ac:dyDescent="0.3">
      <c r="A23" s="114" t="s">
        <v>449</v>
      </c>
    </row>
    <row r="25" spans="1:6" x14ac:dyDescent="0.3">
      <c r="A25" s="51" t="s">
        <v>450</v>
      </c>
    </row>
    <row r="26" spans="1:6" ht="48" x14ac:dyDescent="0.3">
      <c r="A26" s="7" t="s">
        <v>451</v>
      </c>
    </row>
    <row r="27" spans="1:6" ht="30" customHeight="1" x14ac:dyDescent="0.3">
      <c r="A27" s="15" t="s">
        <v>452</v>
      </c>
      <c r="B27" s="15" t="s">
        <v>453</v>
      </c>
      <c r="C27" s="15" t="s">
        <v>265</v>
      </c>
      <c r="D27" s="15" t="s">
        <v>396</v>
      </c>
      <c r="E27" s="15" t="s">
        <v>454</v>
      </c>
      <c r="F27" s="15" t="s">
        <v>439</v>
      </c>
    </row>
    <row r="28" spans="1:6" x14ac:dyDescent="0.3">
      <c r="A28" s="4" t="s">
        <v>455</v>
      </c>
      <c r="B28" s="37">
        <f>NAV!B15/1000</f>
        <v>802.99159320000001</v>
      </c>
      <c r="C28" s="32">
        <f>DCF!B21</f>
        <v>3581.8</v>
      </c>
      <c r="D28" s="32">
        <f>DCF!B22</f>
        <v>173.8</v>
      </c>
      <c r="E28" s="38">
        <f>D28/C28</f>
        <v>4.8523088949690103E-2</v>
      </c>
      <c r="F28" s="115">
        <f>B28/C28</f>
        <v>0.22418660818582833</v>
      </c>
    </row>
    <row r="29" spans="1:6" x14ac:dyDescent="0.3">
      <c r="A29" s="8" t="s">
        <v>195</v>
      </c>
      <c r="B29" s="37">
        <f>קלט!B110</f>
        <v>2562</v>
      </c>
      <c r="C29" s="32">
        <f>קלט!D110</f>
        <v>9400</v>
      </c>
      <c r="D29" s="32">
        <f>קלט!E110</f>
        <v>696.2</v>
      </c>
      <c r="E29" s="38">
        <f>D29/C29</f>
        <v>7.4063829787234053E-2</v>
      </c>
      <c r="F29" s="92">
        <f>B29/C29</f>
        <v>0.27255319148936169</v>
      </c>
    </row>
    <row r="30" spans="1:6" x14ac:dyDescent="0.3">
      <c r="A30" s="4" t="s">
        <v>456</v>
      </c>
      <c r="F30" s="71">
        <f>F28/F29-1</f>
        <v>-0.17745740946651578</v>
      </c>
    </row>
    <row r="32" spans="1:6" ht="26" customHeight="1" x14ac:dyDescent="0.3">
      <c r="A32" s="60" t="str">
        <f>"על בסיס רכב בלבד דלק נסחרת ב"&amp;TEXT(F28,"0.00")&amp;"x הכנסות מול "&amp;TEXT(F29,"0.00")&amp;"x בקרסו — דיסקאונט של "&amp;TEXT(-F30*100,"0")&amp;"%. זהו הפער האמיתי; ההשוואה המאוחדת שלמעלה מטשטשת אותו."</f>
        <v>על בסיס רכב בלבד דלק נסחרת ב0.22x הכנסות מול 0.27x בקרסו — דיסקאונט של 18%. זהו הפער האמיתי; ההשוואה המאוחדת שלמעלה מטשטשת אותו.</v>
      </c>
    </row>
    <row r="34" spans="1:1" ht="26" customHeight="1" x14ac:dyDescent="0.3">
      <c r="A34" s="40" t="s">
        <v>457</v>
      </c>
    </row>
  </sheetData>
  <pageMargins left="0.75" right="0.75" top="1" bottom="1" header="0.5" footer="0.5"/>
  <pageSetup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23"/>
  <sheetViews>
    <sheetView showGridLines="0" rightToLeft="1" workbookViewId="0">
      <pane ySplit="3" topLeftCell="A4" activePane="bottomLeft" state="frozen"/>
      <selection pane="bottomLeft"/>
    </sheetView>
  </sheetViews>
  <sheetFormatPr defaultRowHeight="14" x14ac:dyDescent="0.3"/>
  <cols>
    <col min="1" max="1" width="46" customWidth="1"/>
    <col min="2" max="3" width="17" customWidth="1"/>
    <col min="4" max="4" width="13" customWidth="1"/>
    <col min="5" max="5" width="52" customWidth="1"/>
  </cols>
  <sheetData>
    <row r="1" spans="1:5" ht="24" customHeight="1" x14ac:dyDescent="0.3">
      <c r="A1" s="1" t="s">
        <v>458</v>
      </c>
    </row>
    <row r="2" spans="1:5" ht="16" customHeight="1" x14ac:dyDescent="0.3">
      <c r="A2" s="2" t="s">
        <v>459</v>
      </c>
    </row>
    <row r="3" spans="1:5" x14ac:dyDescent="0.3">
      <c r="A3" s="3"/>
      <c r="B3" s="3"/>
      <c r="C3" s="3"/>
      <c r="D3" s="3"/>
      <c r="E3" s="3"/>
    </row>
    <row r="5" spans="1:5" ht="30" customHeight="1" x14ac:dyDescent="0.3">
      <c r="A5" s="15" t="s">
        <v>460</v>
      </c>
      <c r="B5" s="15" t="s">
        <v>461</v>
      </c>
      <c r="C5" s="15" t="s">
        <v>462</v>
      </c>
      <c r="D5" s="15" t="s">
        <v>463</v>
      </c>
      <c r="E5" s="15" t="s">
        <v>464</v>
      </c>
    </row>
    <row r="6" spans="1:5" ht="26" customHeight="1" x14ac:dyDescent="0.3">
      <c r="A6" s="116" t="s">
        <v>465</v>
      </c>
      <c r="B6" s="37">
        <f>מפל!B14</f>
        <v>-78405</v>
      </c>
      <c r="C6" s="16">
        <v>-78405</v>
      </c>
      <c r="D6" s="117" t="str">
        <f>IF(ABS(B6-C6)&lt;=1,"תקין","נכשל")</f>
        <v>תקין</v>
      </c>
      <c r="E6" s="19" t="s">
        <v>466</v>
      </c>
    </row>
    <row r="7" spans="1:5" ht="26" customHeight="1" x14ac:dyDescent="0.3">
      <c r="A7" s="116" t="s">
        <v>467</v>
      </c>
      <c r="B7" s="37">
        <f>מפל!C14</f>
        <v>100083</v>
      </c>
      <c r="C7" s="16">
        <v>100083</v>
      </c>
      <c r="D7" s="117" t="str">
        <f>IF(ABS(B7-C7)&lt;=1,"תקין","נכשל")</f>
        <v>תקין</v>
      </c>
      <c r="E7" s="19" t="s">
        <v>468</v>
      </c>
    </row>
    <row r="8" spans="1:5" ht="26" customHeight="1" x14ac:dyDescent="0.3">
      <c r="A8" s="116" t="s">
        <v>469</v>
      </c>
      <c r="B8" s="37">
        <f>מגזרים!C13*1000</f>
        <v>316800</v>
      </c>
      <c r="C8" s="37">
        <f>קלט!B7</f>
        <v>316725</v>
      </c>
      <c r="D8" s="117" t="str">
        <f>IF(ABS(B8-C8)&lt;=1000,"תקין","נכשל")</f>
        <v>תקין</v>
      </c>
      <c r="E8" s="19" t="s">
        <v>470</v>
      </c>
    </row>
    <row r="9" spans="1:5" ht="26" customHeight="1" x14ac:dyDescent="0.3">
      <c r="A9" s="116" t="s">
        <v>471</v>
      </c>
      <c r="B9" s="37">
        <f>NAV!B10+NAV!B15</f>
        <v>1712374</v>
      </c>
      <c r="C9" s="37">
        <f>קלט!B27</f>
        <v>1712374</v>
      </c>
      <c r="D9" s="117" t="str">
        <f>IF(ABS(B9-C9)&lt;=1,"תקין","נכשל")</f>
        <v>תקין</v>
      </c>
      <c r="E9" s="19" t="s">
        <v>472</v>
      </c>
    </row>
    <row r="10" spans="1:5" ht="26" customHeight="1" x14ac:dyDescent="0.3">
      <c r="A10" s="116" t="s">
        <v>473</v>
      </c>
      <c r="B10" s="30">
        <f>'כיסוי ריבית'!B14</f>
        <v>0.77342436664995429</v>
      </c>
      <c r="C10" s="31">
        <v>1</v>
      </c>
      <c r="D10" s="117" t="str">
        <f>IF(B10&lt;C10,"תקין","נכשל")</f>
        <v>תקין</v>
      </c>
      <c r="E10" s="19" t="s">
        <v>474</v>
      </c>
    </row>
    <row r="11" spans="1:5" ht="26" customHeight="1" x14ac:dyDescent="0.3">
      <c r="A11" s="116" t="s">
        <v>475</v>
      </c>
      <c r="B11" s="30">
        <f>'כיסוי ריבית'!B14</f>
        <v>0.77342436664995429</v>
      </c>
      <c r="C11" s="31">
        <v>0.77</v>
      </c>
      <c r="D11" s="117" t="str">
        <f>IF(ABS(B11-C11)&lt;=0.005,"תקין","נכשל")</f>
        <v>תקין</v>
      </c>
      <c r="E11" s="19" t="s">
        <v>476</v>
      </c>
    </row>
    <row r="12" spans="1:5" ht="26" customHeight="1" x14ac:dyDescent="0.3">
      <c r="A12" s="116" t="s">
        <v>327</v>
      </c>
      <c r="B12" s="37">
        <f>תרחישים!D7</f>
        <v>2699312.4068</v>
      </c>
      <c r="C12" s="16">
        <v>2699312</v>
      </c>
      <c r="D12" s="117" t="str">
        <f>IF(ABS(B12-C12)&lt;=1000,"תקין","נכשל")</f>
        <v>תקין</v>
      </c>
      <c r="E12" s="19" t="s">
        <v>477</v>
      </c>
    </row>
    <row r="13" spans="1:5" ht="26" customHeight="1" x14ac:dyDescent="0.3">
      <c r="A13" s="116" t="s">
        <v>478</v>
      </c>
      <c r="B13" s="33">
        <f>תרחישים!B14</f>
        <v>7.6038029060343515E-2</v>
      </c>
      <c r="C13" s="27">
        <v>7.5999999999999998E-2</v>
      </c>
      <c r="D13" s="117" t="str">
        <f>IF(ABS(B13-C13)&lt;=0.005,"תקין","נכשל")</f>
        <v>תקין</v>
      </c>
      <c r="E13" s="19" t="s">
        <v>479</v>
      </c>
    </row>
    <row r="14" spans="1:5" ht="26" customHeight="1" x14ac:dyDescent="0.3">
      <c r="A14" s="116" t="s">
        <v>480</v>
      </c>
      <c r="B14" s="63">
        <f>מגזרים!J11</f>
        <v>0.25035000000000002</v>
      </c>
      <c r="C14" s="24">
        <v>0.25040000000000001</v>
      </c>
      <c r="D14" s="117" t="str">
        <f>IF(ABS(B14-C14)&lt;=0.001,"תקין","נכשל")</f>
        <v>תקין</v>
      </c>
      <c r="E14" s="19" t="s">
        <v>481</v>
      </c>
    </row>
    <row r="15" spans="1:5" ht="26" customHeight="1" x14ac:dyDescent="0.3">
      <c r="A15" s="116" t="s">
        <v>482</v>
      </c>
      <c r="B15" s="63">
        <f>מגזרים!J12</f>
        <v>0.10014000000000001</v>
      </c>
      <c r="C15" s="24">
        <v>0.10009999999999999</v>
      </c>
      <c r="D15" s="117" t="str">
        <f>IF(ABS(B15-C15)&lt;=0.001,"תקין","נכשל")</f>
        <v>תקין</v>
      </c>
      <c r="E15" s="19" t="s">
        <v>483</v>
      </c>
    </row>
    <row r="17" spans="1:5" x14ac:dyDescent="0.3">
      <c r="A17" s="51" t="s">
        <v>484</v>
      </c>
      <c r="B17" s="118" t="str">
        <f>COUNTIF(D6:D15,"תקין")&amp;" מתוך "&amp;COUNTA(D6:D15)</f>
        <v>10 מתוך 10</v>
      </c>
      <c r="E17" s="60" t="str">
        <f>IF(COUNTIF(D6:D15,"נכשל")=0,"כל הבדיקות עברו.","יש בדיקה שנכשלה — אל תסתמך על המספרים עד לבירור.")</f>
        <v>כל הבדיקות עברו.</v>
      </c>
    </row>
    <row r="19" spans="1:5" x14ac:dyDescent="0.3">
      <c r="A19" s="119" t="s">
        <v>485</v>
      </c>
    </row>
    <row r="20" spans="1:5" ht="34" customHeight="1" x14ac:dyDescent="0.3">
      <c r="A20" s="120" t="s">
        <v>261</v>
      </c>
      <c r="B20" s="123" t="s">
        <v>486</v>
      </c>
      <c r="C20" s="122"/>
      <c r="D20" s="122"/>
      <c r="E20" s="122"/>
    </row>
    <row r="21" spans="1:5" ht="34" customHeight="1" x14ac:dyDescent="0.3">
      <c r="A21" s="120" t="s">
        <v>487</v>
      </c>
      <c r="B21" s="123" t="s">
        <v>488</v>
      </c>
      <c r="C21" s="122"/>
      <c r="D21" s="122"/>
      <c r="E21" s="122"/>
    </row>
    <row r="22" spans="1:5" ht="34" customHeight="1" x14ac:dyDescent="0.3">
      <c r="A22" s="120" t="s">
        <v>489</v>
      </c>
      <c r="B22" s="123" t="s">
        <v>490</v>
      </c>
      <c r="C22" s="122"/>
      <c r="D22" s="122"/>
      <c r="E22" s="122"/>
    </row>
    <row r="23" spans="1:5" ht="34" customHeight="1" x14ac:dyDescent="0.3">
      <c r="A23" s="120" t="s">
        <v>491</v>
      </c>
      <c r="B23" s="123" t="s">
        <v>492</v>
      </c>
      <c r="C23" s="122"/>
      <c r="D23" s="122"/>
      <c r="E23" s="122"/>
    </row>
  </sheetData>
  <mergeCells count="4">
    <mergeCell ref="B23:E23"/>
    <mergeCell ref="B22:E22"/>
    <mergeCell ref="B21:E21"/>
    <mergeCell ref="B20:E20"/>
  </mergeCell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12</vt:i4>
      </vt:variant>
    </vt:vector>
  </HeadingPairs>
  <TitlesOfParts>
    <vt:vector size="12" baseType="lpstr">
      <vt:lpstr>קרא אותי</vt:lpstr>
      <vt:lpstr>קלט</vt:lpstr>
      <vt:lpstr>מפל</vt:lpstr>
      <vt:lpstr>כיסוי ריבית</vt:lpstr>
      <vt:lpstr>מגזרים</vt:lpstr>
      <vt:lpstr>כלכלת יחידה</vt:lpstr>
      <vt:lpstr>NAV</vt:lpstr>
      <vt:lpstr>תרחישים</vt:lpstr>
      <vt:lpstr>רגישות</vt:lpstr>
      <vt:lpstr>DCF</vt:lpstr>
      <vt:lpstr>מכפילים</vt:lpstr>
      <vt:lpstr>בדיקות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Ariel Smotny</cp:lastModifiedBy>
  <dcterms:created xsi:type="dcterms:W3CDTF">2026-09-22T11:24:28Z</dcterms:created>
  <dcterms:modified xsi:type="dcterms:W3CDTF">2026-09-22T11:30:23Z</dcterms:modified>
</cp:coreProperties>
</file>